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BuÇalışmaKitabı" defaultThemeVersion="124226"/>
  <mc:AlternateContent xmlns:mc="http://schemas.openxmlformats.org/markup-compatibility/2006">
    <mc:Choice Requires="x15">
      <x15ac:absPath xmlns:x15ac="http://schemas.microsoft.com/office/spreadsheetml/2010/11/ac" url="C:\Users\Halil SİNOPLUGİL\Desktop\enerji yönetimi\web\"/>
    </mc:Choice>
  </mc:AlternateContent>
  <xr:revisionPtr revIDLastSave="0" documentId="8_{B75D4538-8948-40A1-A6DB-226055038A05}" xr6:coauthVersionLast="47" xr6:coauthVersionMax="47" xr10:uidLastSave="{00000000-0000-0000-0000-000000000000}"/>
  <bookViews>
    <workbookView xWindow="4680" yWindow="3615" windowWidth="21600" windowHeight="11295" activeTab="3" xr2:uid="{00000000-000D-0000-FFFF-FFFF00000000}"/>
  </bookViews>
  <sheets>
    <sheet name="2026" sheetId="4" r:id="rId1"/>
    <sheet name="2024-2025" sheetId="3" r:id="rId2"/>
    <sheet name="2025" sheetId="1" r:id="rId3"/>
    <sheet name="2024" sheetId="2" r:id="rId4"/>
  </sheets>
  <externalReferences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39" i="4" l="1"/>
  <c r="Y39" i="4"/>
  <c r="W39" i="4"/>
  <c r="U39" i="4"/>
  <c r="S39" i="4"/>
  <c r="Q39" i="4"/>
  <c r="O39" i="4"/>
  <c r="M39" i="4"/>
  <c r="K39" i="4"/>
  <c r="I39" i="4"/>
  <c r="G39" i="4"/>
  <c r="E39" i="4"/>
  <c r="Z38" i="4"/>
  <c r="X38" i="4"/>
  <c r="V38" i="4"/>
  <c r="T38" i="4"/>
  <c r="R38" i="4"/>
  <c r="P38" i="4"/>
  <c r="N38" i="4"/>
  <c r="L38" i="4"/>
  <c r="J38" i="4"/>
  <c r="H38" i="4"/>
  <c r="F38" i="4"/>
  <c r="D38" i="4"/>
  <c r="C26" i="3" l="1"/>
  <c r="C21" i="3"/>
  <c r="C20" i="3"/>
  <c r="C19" i="3"/>
  <c r="C15" i="3"/>
  <c r="C8" i="3"/>
  <c r="C7" i="3"/>
  <c r="AA37" i="2"/>
  <c r="Y37" i="2"/>
  <c r="W37" i="2"/>
  <c r="U37" i="2"/>
  <c r="S37" i="2"/>
  <c r="Q37" i="2"/>
  <c r="O37" i="2"/>
  <c r="M37" i="2"/>
  <c r="K37" i="2"/>
  <c r="I37" i="2"/>
  <c r="H37" i="2"/>
  <c r="G37" i="2"/>
  <c r="F37" i="2"/>
  <c r="AE36" i="2"/>
  <c r="AD36" i="2"/>
  <c r="C36" i="3" s="1"/>
  <c r="AE35" i="2"/>
  <c r="AD35" i="2"/>
  <c r="AE34" i="2"/>
  <c r="AB34" i="2"/>
  <c r="Z34" i="2"/>
  <c r="X34" i="2"/>
  <c r="V34" i="2"/>
  <c r="T34" i="2"/>
  <c r="R34" i="2"/>
  <c r="P34" i="2"/>
  <c r="N34" i="2"/>
  <c r="L34" i="2"/>
  <c r="J34" i="2"/>
  <c r="AE33" i="2"/>
  <c r="AD33" i="2"/>
  <c r="AE32" i="2"/>
  <c r="AD32" i="2"/>
  <c r="C18" i="3" s="1"/>
  <c r="AB32" i="2"/>
  <c r="AE31" i="2"/>
  <c r="Z31" i="2"/>
  <c r="T31" i="2"/>
  <c r="R31" i="2"/>
  <c r="AD31" i="2" s="1"/>
  <c r="C14" i="3" s="1"/>
  <c r="AE30" i="2"/>
  <c r="AB30" i="2"/>
  <c r="Z30" i="2"/>
  <c r="X30" i="2"/>
  <c r="V30" i="2"/>
  <c r="T30" i="2"/>
  <c r="R30" i="2"/>
  <c r="P30" i="2"/>
  <c r="N30" i="2"/>
  <c r="L30" i="2"/>
  <c r="J30" i="2"/>
  <c r="AE29" i="2"/>
  <c r="AC29" i="2"/>
  <c r="AB29" i="2"/>
  <c r="AD29" i="2" s="1"/>
  <c r="C25" i="3" s="1"/>
  <c r="AE28" i="2"/>
  <c r="AB28" i="2"/>
  <c r="Z28" i="2"/>
  <c r="X28" i="2"/>
  <c r="V28" i="2"/>
  <c r="T28" i="2"/>
  <c r="R28" i="2"/>
  <c r="P28" i="2"/>
  <c r="N28" i="2"/>
  <c r="L28" i="2"/>
  <c r="J28" i="2"/>
  <c r="AE27" i="2"/>
  <c r="AB27" i="2"/>
  <c r="Z27" i="2"/>
  <c r="X27" i="2"/>
  <c r="V27" i="2"/>
  <c r="T27" i="2"/>
  <c r="R27" i="2"/>
  <c r="P27" i="2"/>
  <c r="N27" i="2"/>
  <c r="L27" i="2"/>
  <c r="J27" i="2"/>
  <c r="AE26" i="2"/>
  <c r="AB26" i="2"/>
  <c r="Z26" i="2"/>
  <c r="T26" i="2"/>
  <c r="AD26" i="2" s="1"/>
  <c r="AE25" i="2"/>
  <c r="Z25" i="2"/>
  <c r="AD25" i="2" s="1"/>
  <c r="C22" i="3" s="1"/>
  <c r="AE24" i="2"/>
  <c r="AD24" i="2"/>
  <c r="Z24" i="2"/>
  <c r="AC23" i="2"/>
  <c r="AC37" i="2" s="1"/>
  <c r="AB23" i="2"/>
  <c r="AD23" i="2" s="1"/>
  <c r="C27" i="3" s="1"/>
  <c r="AE22" i="2"/>
  <c r="AB22" i="2"/>
  <c r="Z22" i="2"/>
  <c r="X22" i="2"/>
  <c r="V22" i="2"/>
  <c r="T22" i="2"/>
  <c r="R22" i="2"/>
  <c r="P22" i="2"/>
  <c r="N22" i="2"/>
  <c r="L22" i="2"/>
  <c r="J22" i="2"/>
  <c r="AE21" i="2"/>
  <c r="AB21" i="2"/>
  <c r="Z21" i="2"/>
  <c r="X21" i="2"/>
  <c r="V21" i="2"/>
  <c r="T21" i="2"/>
  <c r="R21" i="2"/>
  <c r="P21" i="2"/>
  <c r="N21" i="2"/>
  <c r="L21" i="2"/>
  <c r="J21" i="2"/>
  <c r="AE20" i="2"/>
  <c r="AB20" i="2"/>
  <c r="Z20" i="2"/>
  <c r="X20" i="2"/>
  <c r="V20" i="2"/>
  <c r="T20" i="2"/>
  <c r="R20" i="2"/>
  <c r="P20" i="2"/>
  <c r="N20" i="2"/>
  <c r="AD20" i="2" s="1"/>
  <c r="C35" i="3" s="1"/>
  <c r="L20" i="2"/>
  <c r="J20" i="2"/>
  <c r="AE19" i="2"/>
  <c r="AD19" i="2"/>
  <c r="C23" i="3" s="1"/>
  <c r="AE18" i="2"/>
  <c r="AD18" i="2"/>
  <c r="AE17" i="2"/>
  <c r="AD17" i="2"/>
  <c r="AE16" i="2"/>
  <c r="AD16" i="2"/>
  <c r="C16" i="3" s="1"/>
  <c r="AE15" i="2"/>
  <c r="AD15" i="2"/>
  <c r="C4" i="3" s="1"/>
  <c r="AE14" i="2"/>
  <c r="AD14" i="2"/>
  <c r="C11" i="3" s="1"/>
  <c r="AE13" i="2"/>
  <c r="AD13" i="2"/>
  <c r="C3" i="3" s="1"/>
  <c r="AE12" i="2"/>
  <c r="AD12" i="2"/>
  <c r="C13" i="3" s="1"/>
  <c r="AE11" i="2"/>
  <c r="X11" i="2"/>
  <c r="AD11" i="2" s="1"/>
  <c r="C5" i="3" s="1"/>
  <c r="AE10" i="2"/>
  <c r="AD10" i="2"/>
  <c r="C24" i="3" s="1"/>
  <c r="AE9" i="2"/>
  <c r="AD9" i="2"/>
  <c r="C12" i="3" s="1"/>
  <c r="AE8" i="2"/>
  <c r="AD8" i="2"/>
  <c r="C6" i="3" s="1"/>
  <c r="AE7" i="2"/>
  <c r="AD7" i="2"/>
  <c r="C10" i="3" s="1"/>
  <c r="AE6" i="2"/>
  <c r="X6" i="2"/>
  <c r="V6" i="2"/>
  <c r="AE5" i="2"/>
  <c r="AB5" i="2"/>
  <c r="Z5" i="2"/>
  <c r="X5" i="2"/>
  <c r="V5" i="2"/>
  <c r="T5" i="2"/>
  <c r="R5" i="2"/>
  <c r="P5" i="2"/>
  <c r="N5" i="2"/>
  <c r="L5" i="2"/>
  <c r="J5" i="2"/>
  <c r="AE4" i="2"/>
  <c r="AD4" i="2"/>
  <c r="AE3" i="2"/>
  <c r="AD3" i="2"/>
  <c r="C9" i="3" s="1"/>
  <c r="J37" i="2" l="1"/>
  <c r="X37" i="2"/>
  <c r="Z37" i="2"/>
  <c r="AD5" i="2"/>
  <c r="C31" i="3" s="1"/>
  <c r="AD28" i="2"/>
  <c r="C29" i="3" s="1"/>
  <c r="AD34" i="2"/>
  <c r="C34" i="3" s="1"/>
  <c r="N37" i="2"/>
  <c r="AD27" i="2"/>
  <c r="C30" i="3" s="1"/>
  <c r="AD30" i="2"/>
  <c r="C32" i="3" s="1"/>
  <c r="R37" i="2"/>
  <c r="T37" i="2"/>
  <c r="AD22" i="2"/>
  <c r="C28" i="3" s="1"/>
  <c r="V37" i="2"/>
  <c r="AD21" i="2"/>
  <c r="C33" i="3" s="1"/>
  <c r="P37" i="2"/>
  <c r="AB37" i="2"/>
  <c r="AE37" i="2"/>
  <c r="AD6" i="2"/>
  <c r="C17" i="3" s="1"/>
  <c r="AE23" i="2"/>
  <c r="L37" i="2"/>
  <c r="AD37" i="2" l="1"/>
  <c r="C37" i="3" s="1"/>
  <c r="AC5" i="1"/>
  <c r="AC6" i="1"/>
  <c r="AC7" i="1"/>
  <c r="AC8" i="1"/>
  <c r="AC9" i="1"/>
  <c r="AC10" i="1"/>
  <c r="AC11" i="1"/>
  <c r="AC12" i="1"/>
  <c r="AC13" i="1"/>
  <c r="AC14" i="1"/>
  <c r="AC15" i="1"/>
  <c r="AC16" i="1"/>
  <c r="AD16" i="1" s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D28" i="1" s="1"/>
  <c r="AC29" i="1"/>
  <c r="AC30" i="1"/>
  <c r="AC31" i="1"/>
  <c r="AC32" i="1"/>
  <c r="AC33" i="1"/>
  <c r="AC34" i="1"/>
  <c r="AC35" i="1"/>
  <c r="AC36" i="1"/>
  <c r="AC37" i="1"/>
  <c r="AC4" i="1"/>
  <c r="AB5" i="1"/>
  <c r="D4" i="3" s="1"/>
  <c r="F4" i="3" s="1"/>
  <c r="AB6" i="1"/>
  <c r="D5" i="3" s="1"/>
  <c r="F5" i="3" s="1"/>
  <c r="AB7" i="1"/>
  <c r="D6" i="3" s="1"/>
  <c r="F6" i="3" s="1"/>
  <c r="AB8" i="1"/>
  <c r="D7" i="3" s="1"/>
  <c r="F7" i="3" s="1"/>
  <c r="AB9" i="1"/>
  <c r="D8" i="3" s="1"/>
  <c r="F8" i="3" s="1"/>
  <c r="AB10" i="1"/>
  <c r="D9" i="3" s="1"/>
  <c r="F9" i="3" s="1"/>
  <c r="AB11" i="1"/>
  <c r="D10" i="3" s="1"/>
  <c r="F10" i="3" s="1"/>
  <c r="AB12" i="1"/>
  <c r="D11" i="3" s="1"/>
  <c r="F11" i="3" s="1"/>
  <c r="AB13" i="1"/>
  <c r="D12" i="3" s="1"/>
  <c r="F12" i="3" s="1"/>
  <c r="AB14" i="1"/>
  <c r="D13" i="3" s="1"/>
  <c r="F13" i="3" s="1"/>
  <c r="AB15" i="1"/>
  <c r="AB16" i="1"/>
  <c r="D15" i="3" s="1"/>
  <c r="F15" i="3" s="1"/>
  <c r="AB17" i="1"/>
  <c r="D16" i="3" s="1"/>
  <c r="F16" i="3" s="1"/>
  <c r="AB18" i="1"/>
  <c r="D17" i="3" s="1"/>
  <c r="F17" i="3" s="1"/>
  <c r="AB19" i="1"/>
  <c r="D18" i="3" s="1"/>
  <c r="F18" i="3" s="1"/>
  <c r="AB20" i="1"/>
  <c r="D19" i="3" s="1"/>
  <c r="F19" i="3" s="1"/>
  <c r="AB21" i="1"/>
  <c r="D20" i="3" s="1"/>
  <c r="F20" i="3" s="1"/>
  <c r="AB22" i="1"/>
  <c r="D21" i="3" s="1"/>
  <c r="F21" i="3" s="1"/>
  <c r="AB23" i="1"/>
  <c r="D22" i="3" s="1"/>
  <c r="F22" i="3" s="1"/>
  <c r="AB24" i="1"/>
  <c r="D23" i="3" s="1"/>
  <c r="F23" i="3" s="1"/>
  <c r="AB25" i="1"/>
  <c r="D24" i="3" s="1"/>
  <c r="F24" i="3" s="1"/>
  <c r="AB26" i="1"/>
  <c r="D25" i="3" s="1"/>
  <c r="F25" i="3" s="1"/>
  <c r="AB27" i="1"/>
  <c r="D26" i="3" s="1"/>
  <c r="F26" i="3" s="1"/>
  <c r="AB28" i="1"/>
  <c r="D27" i="3" s="1"/>
  <c r="F27" i="3" s="1"/>
  <c r="AB29" i="1"/>
  <c r="D28" i="3" s="1"/>
  <c r="F28" i="3" s="1"/>
  <c r="AB30" i="1"/>
  <c r="D29" i="3" s="1"/>
  <c r="F29" i="3" s="1"/>
  <c r="AB31" i="1"/>
  <c r="D30" i="3" s="1"/>
  <c r="F30" i="3" s="1"/>
  <c r="AB32" i="1"/>
  <c r="D31" i="3" s="1"/>
  <c r="F31" i="3" s="1"/>
  <c r="AB33" i="1"/>
  <c r="D32" i="3" s="1"/>
  <c r="F32" i="3" s="1"/>
  <c r="AB34" i="1"/>
  <c r="D33" i="3" s="1"/>
  <c r="F33" i="3" s="1"/>
  <c r="AB35" i="1"/>
  <c r="D34" i="3" s="1"/>
  <c r="F34" i="3" s="1"/>
  <c r="AB36" i="1"/>
  <c r="D35" i="3" s="1"/>
  <c r="F35" i="3" s="1"/>
  <c r="AB37" i="1"/>
  <c r="D36" i="3" s="1"/>
  <c r="F36" i="3" s="1"/>
  <c r="AB4" i="1"/>
  <c r="D3" i="3" s="1"/>
  <c r="F3" i="3" s="1"/>
  <c r="AE15" i="1" l="1"/>
  <c r="D14" i="3"/>
  <c r="F14" i="3" s="1"/>
  <c r="AD36" i="1"/>
  <c r="AD24" i="1"/>
  <c r="AD12" i="1"/>
  <c r="AD20" i="1"/>
  <c r="AD8" i="1"/>
  <c r="AD32" i="1"/>
  <c r="AD35" i="1"/>
  <c r="AD31" i="1"/>
  <c r="AD27" i="1"/>
  <c r="AD23" i="1"/>
  <c r="AD19" i="1"/>
  <c r="AD15" i="1"/>
  <c r="AD11" i="1"/>
  <c r="AD7" i="1"/>
  <c r="AD4" i="1"/>
  <c r="AD34" i="1"/>
  <c r="AD30" i="1"/>
  <c r="AD26" i="1"/>
  <c r="AD22" i="1"/>
  <c r="AD18" i="1"/>
  <c r="AD14" i="1"/>
  <c r="AD10" i="1"/>
  <c r="AD6" i="1"/>
  <c r="AD37" i="1"/>
  <c r="AD33" i="1"/>
  <c r="AD29" i="1"/>
  <c r="AD25" i="1"/>
  <c r="AD21" i="1"/>
  <c r="AD17" i="1"/>
  <c r="AD13" i="1"/>
  <c r="AD9" i="1"/>
  <c r="AD5" i="1"/>
  <c r="AB38" i="1"/>
  <c r="D37" i="3" s="1"/>
  <c r="F37" i="3" s="1"/>
  <c r="AC39" i="1"/>
  <c r="D38" i="1"/>
  <c r="D43" i="1" s="1"/>
  <c r="F38" i="1"/>
  <c r="F43" i="1" s="1"/>
  <c r="H38" i="1"/>
  <c r="H43" i="1" s="1"/>
  <c r="J38" i="1"/>
  <c r="J43" i="1" s="1"/>
  <c r="L38" i="1"/>
  <c r="L43" i="1" s="1"/>
  <c r="N38" i="1"/>
  <c r="N43" i="1" s="1"/>
  <c r="P38" i="1"/>
  <c r="P43" i="1" s="1"/>
  <c r="R38" i="1"/>
  <c r="R43" i="1" s="1"/>
  <c r="T38" i="1"/>
  <c r="T43" i="1" s="1"/>
  <c r="V38" i="1"/>
  <c r="V43" i="1" s="1"/>
  <c r="X38" i="1"/>
  <c r="X43" i="1" s="1"/>
  <c r="Z38" i="1"/>
  <c r="E39" i="1"/>
  <c r="G39" i="1"/>
  <c r="I39" i="1"/>
  <c r="K39" i="1"/>
  <c r="M39" i="1"/>
  <c r="O39" i="1"/>
  <c r="Q39" i="1"/>
  <c r="S39" i="1"/>
  <c r="U39" i="1"/>
  <c r="W39" i="1"/>
  <c r="Y39" i="1"/>
  <c r="AA39" i="1"/>
  <c r="AC76" i="1" l="1"/>
  <c r="AD40" i="1"/>
</calcChain>
</file>

<file path=xl/sharedStrings.xml><?xml version="1.0" encoding="utf-8"?>
<sst xmlns="http://schemas.openxmlformats.org/spreadsheetml/2006/main" count="514" uniqueCount="223">
  <si>
    <t>Hastane</t>
  </si>
  <si>
    <t>ALTINOLUK MYO</t>
  </si>
  <si>
    <t xml:space="preserve">1047858 - AG </t>
  </si>
  <si>
    <t>SKS NEF SPOR TESİSLERİ</t>
  </si>
  <si>
    <t>407442 - AG</t>
  </si>
  <si>
    <t>32.</t>
  </si>
  <si>
    <t>AYVALIK MYO</t>
  </si>
  <si>
    <t>1071603 - AG</t>
  </si>
  <si>
    <t>KEPSUT MYO</t>
  </si>
  <si>
    <t>2835213 - AG</t>
  </si>
  <si>
    <t>30.</t>
  </si>
  <si>
    <t>DİNKÇİLER İLAHİYAT</t>
  </si>
  <si>
    <t>1077829 -AG</t>
  </si>
  <si>
    <t>29.</t>
  </si>
  <si>
    <t>HAVRAN MYO</t>
  </si>
  <si>
    <t>312458 - AG</t>
  </si>
  <si>
    <t>28.</t>
  </si>
  <si>
    <t>GÜRE SİVİL HAVACILIK</t>
  </si>
  <si>
    <t>3293173 - AG</t>
  </si>
  <si>
    <t>27.</t>
  </si>
  <si>
    <t>BİGADİÇ MYO</t>
  </si>
  <si>
    <t>2187129 - AG</t>
  </si>
  <si>
    <t>26.</t>
  </si>
  <si>
    <t>BURHANİYE MYO</t>
  </si>
  <si>
    <t>1553902 - OG</t>
  </si>
  <si>
    <t>25.</t>
  </si>
  <si>
    <t>REKTÖRLÜK ARK.İLAHİYAT</t>
  </si>
  <si>
    <t>3397860 - OG</t>
  </si>
  <si>
    <t>24.</t>
  </si>
  <si>
    <t>İVRİNDİ SAĞLIK MYO</t>
  </si>
  <si>
    <t>3195336 - OG</t>
  </si>
  <si>
    <t>23.</t>
  </si>
  <si>
    <t>SKS SPOR SALONU</t>
  </si>
  <si>
    <t>1983533 -OG</t>
  </si>
  <si>
    <t>22.</t>
  </si>
  <si>
    <t>VETERİNER ÇÖMLEKÇİ</t>
  </si>
  <si>
    <t>1648497 - OG</t>
  </si>
  <si>
    <t>21.</t>
  </si>
  <si>
    <t>DURSUNBEY MYO</t>
  </si>
  <si>
    <t>2705429 -OG</t>
  </si>
  <si>
    <t>20.</t>
  </si>
  <si>
    <t>EDREMİT MYO</t>
  </si>
  <si>
    <t>2648379 - OG</t>
  </si>
  <si>
    <t>19.</t>
  </si>
  <si>
    <t>KÜTÜPHANE VE DOK.</t>
  </si>
  <si>
    <t>3397874 -OG</t>
  </si>
  <si>
    <t>18.</t>
  </si>
  <si>
    <t>GÜZEL SANATLAR FAK.</t>
  </si>
  <si>
    <t>2311032 - OG</t>
  </si>
  <si>
    <t>17.</t>
  </si>
  <si>
    <t>SINDIRGI MYO</t>
  </si>
  <si>
    <t>2898131 -OG</t>
  </si>
  <si>
    <t>16.</t>
  </si>
  <si>
    <t>MER.ARAŞ.LABORATUVARI</t>
  </si>
  <si>
    <t>2618992 - OG</t>
  </si>
  <si>
    <t>15.</t>
  </si>
  <si>
    <t>TURİZM FAKÜLTESİ</t>
  </si>
  <si>
    <t>1436191 -OG</t>
  </si>
  <si>
    <t>14.</t>
  </si>
  <si>
    <t>SPOR BİLİMLERİ FAK.</t>
  </si>
  <si>
    <t>1538129 -OG</t>
  </si>
  <si>
    <t>13.</t>
  </si>
  <si>
    <r>
      <t xml:space="preserve">SAVAŞTEPE MYO </t>
    </r>
    <r>
      <rPr>
        <b/>
        <sz val="11"/>
        <color theme="1"/>
        <rFont val="Calibri"/>
        <family val="2"/>
        <charset val="162"/>
        <scheme val="minor"/>
      </rPr>
      <t>(% 12 ödenen)</t>
    </r>
  </si>
  <si>
    <t>3075350 - OG</t>
  </si>
  <si>
    <t>12.</t>
  </si>
  <si>
    <t>NECATİBEY EĞT.FAK.</t>
  </si>
  <si>
    <t>1438857 - OG</t>
  </si>
  <si>
    <t>11.</t>
  </si>
  <si>
    <t>İKTİSADİ VE İDARİ Bil.</t>
  </si>
  <si>
    <t>826941 -OG</t>
  </si>
  <si>
    <t>10.</t>
  </si>
  <si>
    <t>TIP FAK.DEKANLIĞI (Balıkesir MYO)</t>
  </si>
  <si>
    <t>2144626 -OG</t>
  </si>
  <si>
    <t>9.</t>
  </si>
  <si>
    <t>DENEY HAYV.UYG.</t>
  </si>
  <si>
    <t>2885569 - OG</t>
  </si>
  <si>
    <t>8.</t>
  </si>
  <si>
    <t>1135268 - OG</t>
  </si>
  <si>
    <t>7.</t>
  </si>
  <si>
    <t>VETERİNER FAK</t>
  </si>
  <si>
    <t>2828310 - OG</t>
  </si>
  <si>
    <t>6.</t>
  </si>
  <si>
    <r>
      <t xml:space="preserve">BURHANİYE UYG.BİLİMLER </t>
    </r>
    <r>
      <rPr>
        <b/>
        <sz val="11"/>
        <color theme="1"/>
        <rFont val="Calibri"/>
        <family val="2"/>
        <charset val="162"/>
        <scheme val="minor"/>
      </rPr>
      <t>(%40 ödenen)</t>
    </r>
  </si>
  <si>
    <t>1102587 - OG</t>
  </si>
  <si>
    <t>5.</t>
  </si>
  <si>
    <t>FEN EDEBİYAT FAKÜLTESİ</t>
  </si>
  <si>
    <t>2018789 - OG</t>
  </si>
  <si>
    <t>4.</t>
  </si>
  <si>
    <t>SKS YEMEKHANE</t>
  </si>
  <si>
    <t>500346 - OG</t>
  </si>
  <si>
    <t>3.</t>
  </si>
  <si>
    <t>TIP FAK.MORFOLOJİ</t>
  </si>
  <si>
    <t>3037124 -OG</t>
  </si>
  <si>
    <t>2.</t>
  </si>
  <si>
    <t>MÜHENDİSLİK FAK.</t>
  </si>
  <si>
    <t>687647 -OG</t>
  </si>
  <si>
    <t>1.</t>
  </si>
  <si>
    <t>Toplam</t>
  </si>
  <si>
    <t>Adı</t>
  </si>
  <si>
    <t>Abone No</t>
  </si>
  <si>
    <t>No</t>
  </si>
  <si>
    <t>₺</t>
  </si>
  <si>
    <t>Ocak</t>
  </si>
  <si>
    <t>Şubat</t>
  </si>
  <si>
    <t>Mart</t>
  </si>
  <si>
    <t>Nisan</t>
  </si>
  <si>
    <t>Mayıs</t>
  </si>
  <si>
    <t>Haziran</t>
  </si>
  <si>
    <t>Temmuz</t>
  </si>
  <si>
    <t>Ağustos</t>
  </si>
  <si>
    <t>Eylül</t>
  </si>
  <si>
    <t>Ekim</t>
  </si>
  <si>
    <t>Kasım</t>
  </si>
  <si>
    <t>Aralık</t>
  </si>
  <si>
    <t>kWh</t>
  </si>
  <si>
    <t>TOPLAM kWh</t>
  </si>
  <si>
    <t>TOPLAM TUTAR ₺</t>
  </si>
  <si>
    <t>BALIKESİR MYO (Yüzme Havuzu)</t>
  </si>
  <si>
    <t>Savaştepe %12</t>
  </si>
  <si>
    <t>kwh/₺</t>
  </si>
  <si>
    <t>kwh</t>
  </si>
  <si>
    <t>Ortalama</t>
  </si>
  <si>
    <t>₺/kwh</t>
  </si>
  <si>
    <t>İşl. Kodu</t>
  </si>
  <si>
    <t>Sözleşme No</t>
  </si>
  <si>
    <t>tüketim</t>
  </si>
  <si>
    <t>tl</t>
  </si>
  <si>
    <t>10.1.0.0.0</t>
  </si>
  <si>
    <t>Balıkesir MYO</t>
  </si>
  <si>
    <t>Spor Bilimleri Fakültesi</t>
  </si>
  <si>
    <t>Beden Eğitimi Spor YO  (NEF İlahiyat Fak.)</t>
  </si>
  <si>
    <t>Bil. Tek. Uyg. ve Arş. Mrk. (Mrk. Arş. Lab.)</t>
  </si>
  <si>
    <t>Deney Hay. Uyg. ve Arş. Mrk.</t>
  </si>
  <si>
    <t>Fen Edebiyat Fak.</t>
  </si>
  <si>
    <t>İktisat ve İdari Bilimler Fak.</t>
  </si>
  <si>
    <t>SKS Kapalı Spor Salonu</t>
  </si>
  <si>
    <t>SKS  Yemekhane</t>
  </si>
  <si>
    <t>Necatibey Eğitim Fak.</t>
  </si>
  <si>
    <t>Rektörlük(mühendislik)</t>
  </si>
  <si>
    <t>Tıp Fak. Dekanlık (Eski) (Mevcut MYO)</t>
  </si>
  <si>
    <t>Tıp Fak. Dekanlık (Morfoloji)</t>
  </si>
  <si>
    <t>Turizm Fak.</t>
  </si>
  <si>
    <t>Güzel sanatlar fakültesi(turizm uyg.oteli)</t>
  </si>
  <si>
    <t>Veteriner Fak.</t>
  </si>
  <si>
    <t>10.1.4.0.0</t>
  </si>
  <si>
    <t>Veteriner Fak. (Çömlekçi)</t>
  </si>
  <si>
    <t>10.1.7.4.0</t>
  </si>
  <si>
    <t>Altınoluk MYO</t>
  </si>
  <si>
    <t>10.1.1.0.0</t>
  </si>
  <si>
    <t>Ayvalık MYO</t>
  </si>
  <si>
    <t>Bigadiç MYO</t>
  </si>
  <si>
    <t>10.1.5.0.0</t>
  </si>
  <si>
    <t>Burhaniye MYO</t>
  </si>
  <si>
    <t>Burhaniye Uygulamalı Bilimler YO(%60)</t>
  </si>
  <si>
    <t>10.1.6.0.0</t>
  </si>
  <si>
    <t>Dursunbey MYO</t>
  </si>
  <si>
    <t>10.1.7.0.0</t>
  </si>
  <si>
    <t>Edremit MYO</t>
  </si>
  <si>
    <t>10.1.10.0.0</t>
  </si>
  <si>
    <t>Havran MYO</t>
  </si>
  <si>
    <t>10.1.7.12.0 </t>
  </si>
  <si>
    <t>Edremit Sivil Havacılık MYO</t>
  </si>
  <si>
    <t>10.1.11.0.0</t>
  </si>
  <si>
    <t>İvrindi SHMYO</t>
  </si>
  <si>
    <t>10.1.12.0.0</t>
  </si>
  <si>
    <t>Kepsut MYO</t>
  </si>
  <si>
    <t>10.1.14.0.0</t>
  </si>
  <si>
    <t>Savaştepe MYO ( %12)</t>
  </si>
  <si>
    <t>10.1.15.0.0</t>
  </si>
  <si>
    <t>Sındırgı MYO</t>
  </si>
  <si>
    <t>Kütüphane ve Dokm.</t>
  </si>
  <si>
    <t>Strateji (rektörlük arkası ilahiyat)</t>
  </si>
  <si>
    <t>toplam</t>
  </si>
  <si>
    <t xml:space="preserve">BURHANİYE UYG.BİLİMLER </t>
  </si>
  <si>
    <t xml:space="preserve">SAVAŞTEPE MYO </t>
  </si>
  <si>
    <r>
      <t>(Mevcut</t>
    </r>
    <r>
      <rPr>
        <b/>
        <sz val="11"/>
        <color theme="1"/>
        <rFont val="Calibri"/>
        <family val="2"/>
        <charset val="162"/>
        <scheme val="minor"/>
      </rPr>
      <t xml:space="preserve"> BALIKESİR MYO</t>
    </r>
    <r>
      <rPr>
        <sz val="11"/>
        <color theme="1"/>
        <rFont val="Calibri"/>
        <family val="2"/>
        <scheme val="minor"/>
      </rPr>
      <t xml:space="preserve">) TIP FAK.DEKANLIĞI </t>
    </r>
  </si>
  <si>
    <t>İKTİSADİ VE İDARİ Bil. Fak.</t>
  </si>
  <si>
    <t>EDREMİT SİVİL HAVACILIK</t>
  </si>
  <si>
    <t>NEF Spor Tesisleri</t>
  </si>
  <si>
    <t>Fark (difference)</t>
  </si>
  <si>
    <t>2024 Total</t>
  </si>
  <si>
    <t>2025 Total</t>
  </si>
  <si>
    <r>
      <t xml:space="preserve">BURHANİYE UYG.BİLİMLER </t>
    </r>
    <r>
      <rPr>
        <b/>
        <sz val="11"/>
        <color theme="1"/>
        <rFont val="Calibri"/>
        <family val="2"/>
        <charset val="162"/>
        <scheme val="minor"/>
      </rPr>
      <t>(%40 imid ödenen)</t>
    </r>
  </si>
  <si>
    <t>İLAHİYAT - HUKUK</t>
  </si>
  <si>
    <t>NEF (DİNKÇİLER eski) İLAHİYAT</t>
  </si>
  <si>
    <t>Electricity 2025</t>
  </si>
  <si>
    <t>Faculty of Engineering</t>
  </si>
  <si>
    <t>Faculty of Medicine Morphology</t>
  </si>
  <si>
    <t>Department of Health Culture and Sports Dining Hall</t>
  </si>
  <si>
    <t>Faculty of Arts and Sciences</t>
  </si>
  <si>
    <t>Burhaniye Applied Sciences</t>
  </si>
  <si>
    <t>Faculty of Veterinary Medicine</t>
  </si>
  <si>
    <t>Balikesir Vocational School (Swimming Pool)</t>
  </si>
  <si>
    <t>Experimental Animals Application</t>
  </si>
  <si>
    <t>(Current BALIKESIR VS) Dean's Office of the Faculty of Medicine</t>
  </si>
  <si>
    <t>Faculty of Economics and Administrative Sciences</t>
  </si>
  <si>
    <t>Necatibey Faculty of Education</t>
  </si>
  <si>
    <t>Savastepe Vocational School</t>
  </si>
  <si>
    <t>Faculty of Sports Sciences</t>
  </si>
  <si>
    <t>Faculty of Tourism</t>
  </si>
  <si>
    <t>Central Research Laboratory</t>
  </si>
  <si>
    <t>Sindirgi Vocational School</t>
  </si>
  <si>
    <t>Faculty of Fine Arts</t>
  </si>
  <si>
    <t>Library and Documentation</t>
  </si>
  <si>
    <t>Edremit Vocational School</t>
  </si>
  <si>
    <t>Dursunbey Vocational School</t>
  </si>
  <si>
    <t>Veterinary Medicine Comlekci</t>
  </si>
  <si>
    <t>Department of Health Culture and Sports Sports Hall</t>
  </si>
  <si>
    <t>Ivrindi Health Vocational School</t>
  </si>
  <si>
    <t>Faculty of Theology Behind Rectorate</t>
  </si>
  <si>
    <t>Burhaniye Vocational School</t>
  </si>
  <si>
    <t>Bigadic Vocational School</t>
  </si>
  <si>
    <t>Edremit Civil Aviation</t>
  </si>
  <si>
    <t>Havran Vocational School</t>
  </si>
  <si>
    <t>Dinkciler Theology</t>
  </si>
  <si>
    <t>Kepsut Vocational School</t>
  </si>
  <si>
    <t>Ayvalik Vocational School</t>
  </si>
  <si>
    <t>Department of Health Culture and Sports NEF Sports Facilities</t>
  </si>
  <si>
    <t>Altinoluk Vocational School</t>
  </si>
  <si>
    <t>Hospital</t>
  </si>
  <si>
    <t>TOPLAM kWh (Total)</t>
  </si>
  <si>
    <t>Electricity 2026</t>
  </si>
  <si>
    <t>Electricity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</si>
</sst>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00"/>
    <numFmt numFmtId="165" formatCode="0.000"/>
    <numFmt numFmtId="166" formatCode="_-* #,##0.000_-;\-* #,##0.000_-;_-* &quot;-&quot;??_-;_-@_-"/>
    <numFmt numFmtId="167" formatCode="#,##0.00\ &quot;₺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0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0"/>
      <name val="Calibri"/>
      <family val="2"/>
      <scheme val="minor"/>
    </font>
    <font>
      <sz val="11"/>
      <name val="Calibri"/>
      <family val="2"/>
      <charset val="162"/>
      <scheme val="minor"/>
    </font>
    <font>
      <sz val="11"/>
      <name val="Calibri"/>
      <family val="2"/>
      <scheme val="minor"/>
    </font>
    <font>
      <sz val="12"/>
      <name val="Times New Roman"/>
      <family val="1"/>
      <charset val="162"/>
    </font>
    <font>
      <sz val="14"/>
      <name val="Times New Roman"/>
      <family val="1"/>
      <charset val="162"/>
    </font>
    <font>
      <b/>
      <i/>
      <u/>
      <sz val="16"/>
      <color rgb="FFFF0000"/>
      <name val="Calibri"/>
      <family val="2"/>
      <charset val="162"/>
      <scheme val="minor"/>
    </font>
    <font>
      <sz val="11"/>
      <color rgb="FF212529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0"/>
      <name val="Arial"/>
      <family val="2"/>
      <charset val="162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BF4FB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3" fillId="0" borderId="0"/>
  </cellStyleXfs>
  <cellXfs count="91">
    <xf numFmtId="0" fontId="0" fillId="0" borderId="0" xfId="0"/>
    <xf numFmtId="4" fontId="4" fillId="2" borderId="1" xfId="0" applyNumberFormat="1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8" fillId="2" borderId="1" xfId="0" applyFont="1" applyFill="1" applyBorder="1"/>
    <xf numFmtId="4" fontId="9" fillId="0" borderId="1" xfId="0" applyNumberFormat="1" applyFont="1" applyBorder="1" applyAlignment="1">
      <alignment horizontal="center" vertical="center" wrapText="1"/>
    </xf>
    <xf numFmtId="165" fontId="10" fillId="3" borderId="1" xfId="0" applyNumberFormat="1" applyFont="1" applyFill="1" applyBorder="1" applyAlignment="1">
      <alignment horizontal="center" vertical="center"/>
    </xf>
    <xf numFmtId="4" fontId="8" fillId="0" borderId="0" xfId="0" applyNumberFormat="1" applyFont="1" applyAlignment="1">
      <alignment horizontal="left"/>
    </xf>
    <xf numFmtId="4" fontId="8" fillId="3" borderId="1" xfId="0" applyNumberFormat="1" applyFont="1" applyFill="1" applyBorder="1" applyAlignment="1">
      <alignment horizontal="center" vertical="center"/>
    </xf>
    <xf numFmtId="4" fontId="10" fillId="0" borderId="0" xfId="0" applyNumberFormat="1" applyFont="1" applyAlignment="1">
      <alignment horizontal="center"/>
    </xf>
    <xf numFmtId="4" fontId="10" fillId="3" borderId="1" xfId="0" applyNumberFormat="1" applyFont="1" applyFill="1" applyBorder="1" applyAlignment="1">
      <alignment horizontal="center" vertical="center"/>
    </xf>
    <xf numFmtId="4" fontId="0" fillId="0" borderId="1" xfId="0" applyNumberFormat="1" applyBorder="1" applyAlignment="1">
      <alignment vertical="center"/>
    </xf>
    <xf numFmtId="4" fontId="0" fillId="3" borderId="1" xfId="0" applyNumberFormat="1" applyFill="1" applyBorder="1" applyAlignment="1">
      <alignment vertical="center"/>
    </xf>
    <xf numFmtId="4" fontId="0" fillId="0" borderId="0" xfId="0" applyNumberFormat="1" applyAlignment="1">
      <alignment vertical="center"/>
    </xf>
    <xf numFmtId="4" fontId="0" fillId="0" borderId="0" xfId="0" applyNumberFormat="1"/>
    <xf numFmtId="4" fontId="0" fillId="3" borderId="1" xfId="0" applyNumberFormat="1" applyFill="1" applyBorder="1"/>
    <xf numFmtId="0" fontId="0" fillId="0" borderId="1" xfId="0" applyBorder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/>
    </xf>
    <xf numFmtId="4" fontId="0" fillId="0" borderId="1" xfId="0" applyNumberFormat="1" applyBorder="1"/>
    <xf numFmtId="4" fontId="9" fillId="2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/>
    </xf>
    <xf numFmtId="4" fontId="10" fillId="3" borderId="1" xfId="1" applyNumberFormat="1" applyFont="1" applyFill="1" applyBorder="1" applyAlignment="1">
      <alignment horizontal="center" vertical="center"/>
    </xf>
    <xf numFmtId="4" fontId="0" fillId="4" borderId="1" xfId="0" applyNumberFormat="1" applyFill="1" applyBorder="1" applyAlignment="1">
      <alignment vertical="center"/>
    </xf>
    <xf numFmtId="0" fontId="0" fillId="4" borderId="1" xfId="0" applyFill="1" applyBorder="1" applyAlignment="1">
      <alignment vertical="center"/>
    </xf>
    <xf numFmtId="4" fontId="10" fillId="0" borderId="1" xfId="0" applyNumberFormat="1" applyFont="1" applyBorder="1"/>
    <xf numFmtId="4" fontId="10" fillId="3" borderId="1" xfId="0" applyNumberFormat="1" applyFont="1" applyFill="1" applyBorder="1"/>
    <xf numFmtId="17" fontId="10" fillId="3" borderId="2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  <xf numFmtId="17" fontId="10" fillId="5" borderId="1" xfId="0" applyNumberFormat="1" applyFont="1" applyFill="1" applyBorder="1" applyAlignment="1">
      <alignment horizontal="center"/>
    </xf>
    <xf numFmtId="0" fontId="13" fillId="0" borderId="0" xfId="0" applyFont="1"/>
    <xf numFmtId="164" fontId="0" fillId="0" borderId="0" xfId="0" applyNumberFormat="1"/>
    <xf numFmtId="3" fontId="0" fillId="0" borderId="0" xfId="0" applyNumberFormat="1"/>
    <xf numFmtId="17" fontId="10" fillId="5" borderId="4" xfId="0" applyNumberFormat="1" applyFont="1" applyFill="1" applyBorder="1" applyAlignment="1">
      <alignment horizontal="center"/>
    </xf>
    <xf numFmtId="17" fontId="10" fillId="3" borderId="1" xfId="0" applyNumberFormat="1" applyFont="1" applyFill="1" applyBorder="1" applyAlignment="1">
      <alignment horizontal="right"/>
    </xf>
    <xf numFmtId="17" fontId="10" fillId="2" borderId="1" xfId="0" applyNumberFormat="1" applyFont="1" applyFill="1" applyBorder="1" applyAlignment="1">
      <alignment horizontal="right"/>
    </xf>
    <xf numFmtId="0" fontId="0" fillId="2" borderId="0" xfId="0" applyFill="1"/>
    <xf numFmtId="0" fontId="5" fillId="3" borderId="6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1" xfId="0" applyFont="1" applyFill="1" applyBorder="1" applyAlignment="1">
      <alignment vertical="center"/>
    </xf>
    <xf numFmtId="4" fontId="11" fillId="3" borderId="1" xfId="0" applyNumberFormat="1" applyFont="1" applyFill="1" applyBorder="1" applyAlignment="1">
      <alignment vertical="center"/>
    </xf>
    <xf numFmtId="164" fontId="10" fillId="0" borderId="1" xfId="0" applyNumberFormat="1" applyFont="1" applyBorder="1" applyAlignment="1">
      <alignment horizontal="center"/>
    </xf>
    <xf numFmtId="4" fontId="11" fillId="2" borderId="7" xfId="0" applyNumberFormat="1" applyFont="1" applyFill="1" applyBorder="1" applyAlignment="1">
      <alignment vertical="center"/>
    </xf>
    <xf numFmtId="4" fontId="10" fillId="3" borderId="8" xfId="0" applyNumberFormat="1" applyFont="1" applyFill="1" applyBorder="1"/>
    <xf numFmtId="164" fontId="14" fillId="2" borderId="1" xfId="0" applyNumberFormat="1" applyFont="1" applyFill="1" applyBorder="1" applyAlignment="1">
      <alignment horizontal="center"/>
    </xf>
    <xf numFmtId="164" fontId="14" fillId="0" borderId="1" xfId="0" applyNumberFormat="1" applyFont="1" applyBorder="1" applyAlignment="1">
      <alignment horizontal="center"/>
    </xf>
    <xf numFmtId="164" fontId="10" fillId="3" borderId="1" xfId="0" applyNumberFormat="1" applyFont="1" applyFill="1" applyBorder="1" applyAlignment="1">
      <alignment horizontal="right"/>
    </xf>
    <xf numFmtId="4" fontId="9" fillId="2" borderId="1" xfId="0" applyNumberFormat="1" applyFont="1" applyFill="1" applyBorder="1" applyAlignment="1">
      <alignment vertical="center" wrapText="1"/>
    </xf>
    <xf numFmtId="164" fontId="10" fillId="3" borderId="1" xfId="0" applyNumberFormat="1" applyFont="1" applyFill="1" applyBorder="1" applyAlignment="1">
      <alignment horizontal="center"/>
    </xf>
    <xf numFmtId="4" fontId="10" fillId="3" borderId="1" xfId="0" applyNumberFormat="1" applyFont="1" applyFill="1" applyBorder="1" applyAlignment="1">
      <alignment horizontal="right"/>
    </xf>
    <xf numFmtId="164" fontId="9" fillId="2" borderId="1" xfId="0" applyNumberFormat="1" applyFont="1" applyFill="1" applyBorder="1" applyAlignment="1">
      <alignment horizontal="center"/>
    </xf>
    <xf numFmtId="164" fontId="10" fillId="3" borderId="1" xfId="0" applyNumberFormat="1" applyFont="1" applyFill="1" applyBorder="1"/>
    <xf numFmtId="4" fontId="10" fillId="3" borderId="8" xfId="0" applyNumberFormat="1" applyFont="1" applyFill="1" applyBorder="1" applyAlignment="1">
      <alignment horizontal="right"/>
    </xf>
    <xf numFmtId="164" fontId="15" fillId="0" borderId="0" xfId="0" applyNumberFormat="1" applyFont="1" applyAlignment="1">
      <alignment horizontal="center"/>
    </xf>
    <xf numFmtId="164" fontId="15" fillId="2" borderId="0" xfId="0" applyNumberFormat="1" applyFont="1" applyFill="1" applyAlignment="1">
      <alignment horizontal="center"/>
    </xf>
    <xf numFmtId="164" fontId="15" fillId="3" borderId="1" xfId="0" applyNumberFormat="1" applyFont="1" applyFill="1" applyBorder="1" applyAlignment="1">
      <alignment horizontal="right"/>
    </xf>
    <xf numFmtId="166" fontId="10" fillId="0" borderId="1" xfId="1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right"/>
    </xf>
    <xf numFmtId="0" fontId="10" fillId="3" borderId="1" xfId="0" applyFont="1" applyFill="1" applyBorder="1" applyAlignment="1">
      <alignment horizontal="center"/>
    </xf>
    <xf numFmtId="166" fontId="10" fillId="0" borderId="1" xfId="1" applyNumberFormat="1" applyFont="1" applyFill="1" applyBorder="1" applyAlignment="1">
      <alignment horizontal="left"/>
    </xf>
    <xf numFmtId="4" fontId="11" fillId="2" borderId="1" xfId="0" applyNumberFormat="1" applyFont="1" applyFill="1" applyBorder="1" applyAlignment="1">
      <alignment vertical="center"/>
    </xf>
    <xf numFmtId="0" fontId="10" fillId="3" borderId="1" xfId="0" applyFont="1" applyFill="1" applyBorder="1"/>
    <xf numFmtId="2" fontId="10" fillId="3" borderId="1" xfId="0" applyNumberFormat="1" applyFont="1" applyFill="1" applyBorder="1" applyAlignment="1">
      <alignment horizontal="center"/>
    </xf>
    <xf numFmtId="166" fontId="10" fillId="0" borderId="1" xfId="1" applyNumberFormat="1" applyFont="1" applyFill="1" applyBorder="1" applyAlignment="1">
      <alignment horizontal="center"/>
    </xf>
    <xf numFmtId="4" fontId="10" fillId="2" borderId="1" xfId="0" applyNumberFormat="1" applyFont="1" applyFill="1" applyBorder="1"/>
    <xf numFmtId="4" fontId="10" fillId="2" borderId="1" xfId="0" applyNumberFormat="1" applyFont="1" applyFill="1" applyBorder="1" applyAlignment="1">
      <alignment horizontal="center"/>
    </xf>
    <xf numFmtId="2" fontId="10" fillId="0" borderId="1" xfId="0" applyNumberFormat="1" applyFont="1" applyBorder="1" applyAlignment="1">
      <alignment horizontal="center"/>
    </xf>
    <xf numFmtId="4" fontId="10" fillId="2" borderId="0" xfId="0" applyNumberFormat="1" applyFont="1" applyFill="1" applyAlignment="1">
      <alignment horizontal="center"/>
    </xf>
    <xf numFmtId="4" fontId="10" fillId="2" borderId="0" xfId="0" applyNumberFormat="1" applyFont="1" applyFill="1"/>
    <xf numFmtId="4" fontId="10" fillId="3" borderId="1" xfId="0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4" fontId="1" fillId="2" borderId="1" xfId="0" applyNumberFormat="1" applyFont="1" applyFill="1" applyBorder="1" applyAlignment="1">
      <alignment vertical="center" wrapText="1"/>
    </xf>
    <xf numFmtId="4" fontId="0" fillId="6" borderId="1" xfId="0" applyNumberFormat="1" applyFill="1" applyBorder="1" applyAlignment="1" applyProtection="1">
      <alignment horizontal="right" vertical="center"/>
      <protection locked="0"/>
    </xf>
    <xf numFmtId="167" fontId="0" fillId="6" borderId="1" xfId="0" applyNumberFormat="1" applyFill="1" applyBorder="1" applyAlignment="1" applyProtection="1">
      <alignment horizontal="right"/>
      <protection locked="0"/>
    </xf>
    <xf numFmtId="2" fontId="0" fillId="6" borderId="1" xfId="0" applyNumberFormat="1" applyFill="1" applyBorder="1" applyAlignment="1" applyProtection="1">
      <alignment horizontal="right" vertic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4" fontId="16" fillId="0" borderId="12" xfId="0" applyNumberFormat="1" applyFont="1" applyBorder="1" applyAlignment="1">
      <alignment horizontal="right" vertical="center"/>
    </xf>
    <xf numFmtId="4" fontId="16" fillId="7" borderId="12" xfId="0" applyNumberFormat="1" applyFont="1" applyFill="1" applyBorder="1" applyAlignment="1">
      <alignment horizontal="right" vertical="center"/>
    </xf>
    <xf numFmtId="0" fontId="17" fillId="0" borderId="0" xfId="0" applyFont="1"/>
  </cellXfs>
  <cellStyles count="3">
    <cellStyle name="Normal" xfId="0" builtinId="0"/>
    <cellStyle name="Normal 2" xfId="2" xr:uid="{00000000-0005-0000-0000-000001000000}"/>
    <cellStyle name="Virgül" xfId="1" builtinId="3"/>
  </cellStyles>
  <dxfs count="6"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İVRİNDİ SAĞLIK MYO - 2025 Aylık kWh Tüketimi</a:t>
            </a:r>
          </a:p>
        </c:rich>
      </c:tx>
      <c:layout>
        <c:manualLayout>
          <c:xMode val="edge"/>
          <c:yMode val="edge"/>
          <c:x val="0.14673279543545226"/>
          <c:y val="2.754151829667636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kWh</c:v>
          </c:tx>
          <c:cat>
            <c:strRef>
              <c:f>('[1]2025'!$D$1,'[1]2025'!$F$1,'[1]2025'!$H$1,'[1]2025'!$J$1,'[1]2025'!$L$1,'[1]2025'!$N$1,'[1]2025'!$P$1,'[1]2025'!$R$1,'[1]2025'!$T$1,'[1]2025'!$V$1,'[1]2025'!$X$1,'[1]2025'!$Z$1)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Nisan</c:v>
                </c:pt>
                <c:pt idx="4">
                  <c:v>Mayıs</c:v>
                </c:pt>
                <c:pt idx="5">
                  <c:v>Haziran</c:v>
                </c:pt>
                <c:pt idx="6">
                  <c:v>Temmuz</c:v>
                </c:pt>
                <c:pt idx="7">
                  <c:v>Ağustos</c:v>
                </c:pt>
                <c:pt idx="8">
                  <c:v>Eylül</c:v>
                </c:pt>
                <c:pt idx="9">
                  <c:v>Ekim</c:v>
                </c:pt>
                <c:pt idx="10">
                  <c:v>Kasım</c:v>
                </c:pt>
                <c:pt idx="11">
                  <c:v>Aralık</c:v>
                </c:pt>
              </c:strCache>
            </c:strRef>
          </c:cat>
          <c:val>
            <c:numRef>
              <c:f>('[1]2025'!$D$26,'[1]2025'!$F$26,'[1]2025'!$H$26,'[1]2025'!$J$26,'[1]2025'!$L$26,'[1]2025'!$N$26,'[1]2025'!$P$26,'[1]2025'!$R$26,'[1]2025'!$T$26,'[1]2025'!$V$26,'[1]2025'!$X$26,'[1]2025'!$Z$26)</c:f>
              <c:numCache>
                <c:formatCode>General</c:formatCode>
                <c:ptCount val="12"/>
                <c:pt idx="0">
                  <c:v>4400.4290000000001</c:v>
                </c:pt>
                <c:pt idx="1">
                  <c:v>3908.09</c:v>
                </c:pt>
                <c:pt idx="2">
                  <c:v>4468.2798000000003</c:v>
                </c:pt>
                <c:pt idx="3">
                  <c:v>4170.8</c:v>
                </c:pt>
                <c:pt idx="4">
                  <c:v>3699.58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99-4FBD-993E-07CC995E7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1459328"/>
        <c:axId val="229861056"/>
      </c:lineChart>
      <c:catAx>
        <c:axId val="671459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29861056"/>
        <c:crosses val="autoZero"/>
        <c:auto val="1"/>
        <c:lblAlgn val="ctr"/>
        <c:lblOffset val="100"/>
        <c:noMultiLvlLbl val="0"/>
      </c:catAx>
      <c:valAx>
        <c:axId val="2298610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7145932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127000</xdr:colOff>
      <xdr:row>24</xdr:row>
      <xdr:rowOff>73025</xdr:rowOff>
    </xdr:from>
    <xdr:to>
      <xdr:col>7</xdr:col>
      <xdr:colOff>843616</xdr:colOff>
      <xdr:row>38</xdr:row>
      <xdr:rowOff>30442</xdr:rowOff>
    </xdr:to>
    <xdr:graphicFrame macro="">
      <xdr:nvGraphicFramePr>
        <xdr:cNvPr id="2" name="Grafik 1" hidden="1">
          <a:extLst>
            <a:ext uri="{FF2B5EF4-FFF2-40B4-BE49-F238E27FC236}">
              <a16:creationId xmlns:a16="http://schemas.microsoft.com/office/drawing/2014/main" id="{497FA85A-135D-4F79-89E6-1E6D86EBFA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t&#252;ketim%20bilgileri/2026/Elektrik/2026%201-12.xlsm" TargetMode="External"/><Relationship Id="rId2" Type="http://schemas.openxmlformats.org/officeDocument/2006/relationships/externalLinkPath" Target="file:///C:\Users\Halil%20S&#304;NOPLUG&#304;L\Desktop\enerji%20y&#246;netimi\t&#252;ketim%20bilgileri\2026\Elektrik\2026%201-12.xlsm" TargetMode="External"/><Relationship Id="rId1" Type="http://schemas.openxmlformats.org/officeDocument/2006/relationships/externalLinkPath" Target="/Users/Halil%20S&#304;NOPLUG&#304;L/Desktop/enerji%20y&#246;netimi/t&#252;ketim%20bilgileri/2026/Elektrik/2026%201-1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025"/>
    </sheetNames>
    <sheetDataSet>
      <sheetData sheetId="0">
        <row r="1">
          <cell r="D1" t="str">
            <v>Ocak</v>
          </cell>
          <cell r="F1" t="str">
            <v>Şubat</v>
          </cell>
          <cell r="H1" t="str">
            <v>Mart</v>
          </cell>
          <cell r="J1" t="str">
            <v>Nisan</v>
          </cell>
          <cell r="L1" t="str">
            <v>Mayıs</v>
          </cell>
          <cell r="N1" t="str">
            <v>Haziran</v>
          </cell>
          <cell r="P1" t="str">
            <v>Temmuz</v>
          </cell>
          <cell r="R1" t="str">
            <v>Ağustos</v>
          </cell>
          <cell r="T1" t="str">
            <v>Eylül</v>
          </cell>
          <cell r="V1" t="str">
            <v>Ekim</v>
          </cell>
          <cell r="X1" t="str">
            <v>Kasım</v>
          </cell>
          <cell r="Z1" t="str">
            <v>Aralık</v>
          </cell>
        </row>
        <row r="26">
          <cell r="D26">
            <v>4400.4290000000001</v>
          </cell>
          <cell r="F26">
            <v>3908.09</v>
          </cell>
          <cell r="H26">
            <v>4468.2798000000003</v>
          </cell>
          <cell r="J26">
            <v>4170.8</v>
          </cell>
          <cell r="L26">
            <v>3699.58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9C07F-8802-409F-9385-B83D4F51CFF5}">
  <dimension ref="A1:AA39"/>
  <sheetViews>
    <sheetView workbookViewId="0">
      <selection sqref="A1:C2"/>
    </sheetView>
  </sheetViews>
  <sheetFormatPr defaultRowHeight="15" x14ac:dyDescent="0.25"/>
  <sheetData>
    <row r="1" spans="1:27" x14ac:dyDescent="0.25">
      <c r="A1" s="85" t="s">
        <v>221</v>
      </c>
      <c r="B1" s="85"/>
      <c r="C1" s="85"/>
      <c r="D1" s="84" t="s">
        <v>102</v>
      </c>
      <c r="E1" s="84"/>
      <c r="F1" s="84" t="s">
        <v>103</v>
      </c>
      <c r="G1" s="84"/>
      <c r="H1" s="84" t="s">
        <v>104</v>
      </c>
      <c r="I1" s="84"/>
      <c r="J1" s="84" t="s">
        <v>105</v>
      </c>
      <c r="K1" s="84"/>
      <c r="L1" s="84" t="s">
        <v>106</v>
      </c>
      <c r="M1" s="84"/>
      <c r="N1" s="84" t="s">
        <v>107</v>
      </c>
      <c r="O1" s="84"/>
      <c r="P1" s="84" t="s">
        <v>108</v>
      </c>
      <c r="Q1" s="84"/>
      <c r="R1" s="84" t="s">
        <v>109</v>
      </c>
      <c r="S1" s="84"/>
      <c r="T1" s="84" t="s">
        <v>110</v>
      </c>
      <c r="U1" s="84"/>
      <c r="V1" s="84" t="s">
        <v>111</v>
      </c>
      <c r="W1" s="84"/>
      <c r="X1" s="84" t="s">
        <v>112</v>
      </c>
      <c r="Y1" s="84"/>
      <c r="Z1" s="84" t="s">
        <v>113</v>
      </c>
      <c r="AA1" s="84"/>
    </row>
    <row r="2" spans="1:27" ht="18.75" x14ac:dyDescent="0.25">
      <c r="A2" s="86"/>
      <c r="B2" s="86"/>
      <c r="C2" s="86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 ht="18.75" x14ac:dyDescent="0.25">
      <c r="A3" s="31" t="s">
        <v>100</v>
      </c>
      <c r="B3" s="31" t="s">
        <v>99</v>
      </c>
      <c r="C3" s="30" t="s">
        <v>98</v>
      </c>
      <c r="D3" s="33" t="s">
        <v>114</v>
      </c>
      <c r="E3" s="32" t="s">
        <v>101</v>
      </c>
      <c r="F3" s="33" t="s">
        <v>114</v>
      </c>
      <c r="G3" s="32" t="s">
        <v>101</v>
      </c>
      <c r="H3" s="33" t="s">
        <v>114</v>
      </c>
      <c r="I3" s="32" t="s">
        <v>101</v>
      </c>
      <c r="J3" s="33" t="s">
        <v>114</v>
      </c>
      <c r="K3" s="32" t="s">
        <v>101</v>
      </c>
      <c r="L3" s="33" t="s">
        <v>114</v>
      </c>
      <c r="M3" s="32" t="s">
        <v>101</v>
      </c>
      <c r="N3" s="33" t="s">
        <v>114</v>
      </c>
      <c r="O3" s="32" t="s">
        <v>101</v>
      </c>
      <c r="P3" s="33" t="s">
        <v>114</v>
      </c>
      <c r="Q3" s="32" t="s">
        <v>101</v>
      </c>
      <c r="R3" s="33" t="s">
        <v>114</v>
      </c>
      <c r="S3" s="32" t="s">
        <v>101</v>
      </c>
      <c r="T3" s="33" t="s">
        <v>114</v>
      </c>
      <c r="U3" s="32" t="s">
        <v>101</v>
      </c>
      <c r="V3" s="33" t="s">
        <v>114</v>
      </c>
      <c r="W3" s="32" t="s">
        <v>101</v>
      </c>
      <c r="X3" s="33" t="s">
        <v>114</v>
      </c>
      <c r="Y3" s="32" t="s">
        <v>101</v>
      </c>
      <c r="Z3" s="33" t="s">
        <v>114</v>
      </c>
      <c r="AA3" s="32" t="s">
        <v>101</v>
      </c>
    </row>
    <row r="4" spans="1:27" ht="15.75" x14ac:dyDescent="0.25">
      <c r="A4" s="19" t="s">
        <v>96</v>
      </c>
      <c r="B4" s="18" t="s">
        <v>95</v>
      </c>
      <c r="C4" s="18" t="s">
        <v>94</v>
      </c>
      <c r="D4" s="17">
        <v>129071.3982</v>
      </c>
      <c r="E4" s="21">
        <v>739056.48</v>
      </c>
      <c r="F4" s="17">
        <v>106529.1</v>
      </c>
      <c r="G4" s="88">
        <v>644011.80000000005</v>
      </c>
      <c r="H4" s="14">
        <v>122205.9005</v>
      </c>
      <c r="I4" s="13">
        <v>675963.54</v>
      </c>
      <c r="J4" s="14">
        <v>107467.5</v>
      </c>
      <c r="K4" s="13">
        <v>546308.5</v>
      </c>
      <c r="L4" s="14">
        <v>104566.05</v>
      </c>
      <c r="M4" s="13">
        <v>553585.36</v>
      </c>
      <c r="N4" s="12"/>
      <c r="O4" s="7"/>
      <c r="P4" s="14"/>
      <c r="Q4" s="13"/>
      <c r="R4" s="14"/>
      <c r="S4" s="13"/>
      <c r="T4" s="12"/>
      <c r="U4" s="7"/>
      <c r="V4" s="12"/>
      <c r="W4" s="7"/>
      <c r="X4" s="12"/>
      <c r="Y4" s="7"/>
      <c r="Z4" s="12"/>
      <c r="AA4" s="7"/>
    </row>
    <row r="5" spans="1:27" ht="15.75" x14ac:dyDescent="0.25">
      <c r="A5" s="19" t="s">
        <v>93</v>
      </c>
      <c r="B5" s="18" t="s">
        <v>92</v>
      </c>
      <c r="C5" s="18" t="s">
        <v>91</v>
      </c>
      <c r="D5" s="17">
        <v>44119.9827</v>
      </c>
      <c r="E5" s="21">
        <v>271087.46000000002</v>
      </c>
      <c r="F5" s="17">
        <v>35742.69</v>
      </c>
      <c r="G5" s="89">
        <v>216012.68</v>
      </c>
      <c r="H5" s="14">
        <v>42681.3321</v>
      </c>
      <c r="I5" s="13">
        <v>237114.41</v>
      </c>
      <c r="J5" s="14">
        <v>42706.17</v>
      </c>
      <c r="K5" s="13">
        <v>222582.86</v>
      </c>
      <c r="L5" s="14">
        <v>31416.39</v>
      </c>
      <c r="M5" s="13">
        <v>184250.93</v>
      </c>
      <c r="N5" s="28"/>
      <c r="O5" s="27"/>
      <c r="P5" s="14"/>
      <c r="Q5" s="13"/>
      <c r="R5" s="14"/>
      <c r="S5" s="13"/>
      <c r="T5" s="12"/>
      <c r="U5" s="7"/>
      <c r="V5" s="12"/>
      <c r="W5" s="7"/>
      <c r="X5" s="12"/>
      <c r="Y5" s="7"/>
      <c r="Z5" s="12"/>
      <c r="AA5" s="7"/>
    </row>
    <row r="6" spans="1:27" ht="15.75" x14ac:dyDescent="0.25">
      <c r="A6" s="19" t="s">
        <v>90</v>
      </c>
      <c r="B6" s="18" t="s">
        <v>89</v>
      </c>
      <c r="C6" s="18" t="s">
        <v>88</v>
      </c>
      <c r="D6" s="17">
        <v>65981.247700000007</v>
      </c>
      <c r="E6" s="21">
        <v>405410.17</v>
      </c>
      <c r="F6" s="17">
        <v>51950.1</v>
      </c>
      <c r="G6" s="88">
        <v>313811.5</v>
      </c>
      <c r="H6" s="14">
        <v>53759.622000000003</v>
      </c>
      <c r="I6" s="13">
        <v>293786.28999999998</v>
      </c>
      <c r="J6" s="14">
        <v>46462.879999999997</v>
      </c>
      <c r="K6" s="13">
        <v>235330.27</v>
      </c>
      <c r="L6" s="14">
        <v>51092.78</v>
      </c>
      <c r="M6" s="13">
        <v>275494.21000000002</v>
      </c>
      <c r="N6" s="12"/>
      <c r="O6" s="7"/>
      <c r="P6" s="14"/>
      <c r="Q6" s="13"/>
      <c r="R6" s="14"/>
      <c r="S6" s="13"/>
      <c r="T6" s="12"/>
      <c r="U6" s="7"/>
      <c r="V6" s="12"/>
      <c r="W6" s="7"/>
      <c r="X6" s="12"/>
      <c r="Y6" s="7"/>
      <c r="Z6" s="12"/>
      <c r="AA6" s="7"/>
    </row>
    <row r="7" spans="1:27" ht="15.75" x14ac:dyDescent="0.25">
      <c r="A7" s="19" t="s">
        <v>87</v>
      </c>
      <c r="B7" s="18" t="s">
        <v>86</v>
      </c>
      <c r="C7" s="18" t="s">
        <v>85</v>
      </c>
      <c r="D7" s="17">
        <v>43151.217499999999</v>
      </c>
      <c r="E7" s="21">
        <v>265135.08</v>
      </c>
      <c r="F7" s="17">
        <v>39311.370000000003</v>
      </c>
      <c r="G7" s="89">
        <v>238018.9</v>
      </c>
      <c r="H7" s="14">
        <v>44687.164100000002</v>
      </c>
      <c r="I7" s="13">
        <v>246929.44</v>
      </c>
      <c r="J7" s="14">
        <v>38284.65</v>
      </c>
      <c r="K7" s="13">
        <v>193544.35</v>
      </c>
      <c r="L7" s="14">
        <v>30217.86</v>
      </c>
      <c r="M7" s="13">
        <v>153997.4</v>
      </c>
      <c r="N7" s="12"/>
      <c r="O7" s="7"/>
      <c r="P7" s="14"/>
      <c r="Q7" s="13"/>
      <c r="R7" s="14"/>
      <c r="S7" s="13"/>
      <c r="T7" s="12"/>
      <c r="U7" s="7"/>
      <c r="V7" s="12"/>
      <c r="W7" s="7"/>
      <c r="X7" s="12"/>
      <c r="Y7" s="7"/>
      <c r="Z7" s="12"/>
      <c r="AA7" s="7"/>
    </row>
    <row r="8" spans="1:27" ht="15.75" x14ac:dyDescent="0.25">
      <c r="A8" s="19" t="s">
        <v>84</v>
      </c>
      <c r="B8" s="26" t="s">
        <v>83</v>
      </c>
      <c r="C8" s="26" t="s">
        <v>182</v>
      </c>
      <c r="D8" s="17">
        <v>54692.85</v>
      </c>
      <c r="E8" s="21">
        <v>336050.59</v>
      </c>
      <c r="F8" s="17">
        <v>51889.72</v>
      </c>
      <c r="G8" s="88">
        <v>314362.12</v>
      </c>
      <c r="H8" s="14">
        <v>56438.549099999997</v>
      </c>
      <c r="I8" s="25">
        <v>310288.94</v>
      </c>
      <c r="J8" s="14">
        <v>38731.43</v>
      </c>
      <c r="K8" s="25">
        <v>185326.54</v>
      </c>
      <c r="L8" s="14">
        <v>36325.050000000003</v>
      </c>
      <c r="M8" s="25">
        <v>191152.36</v>
      </c>
      <c r="N8" s="12"/>
      <c r="O8" s="23"/>
      <c r="P8" s="14"/>
      <c r="Q8" s="25"/>
      <c r="R8" s="14"/>
      <c r="S8" s="25"/>
      <c r="T8" s="12"/>
      <c r="U8" s="7"/>
      <c r="V8" s="12"/>
      <c r="W8" s="7"/>
      <c r="X8" s="12"/>
      <c r="Y8" s="7"/>
      <c r="Z8" s="12"/>
      <c r="AA8" s="7"/>
    </row>
    <row r="9" spans="1:27" ht="15.75" x14ac:dyDescent="0.25">
      <c r="A9" s="19" t="s">
        <v>81</v>
      </c>
      <c r="B9" s="18" t="s">
        <v>80</v>
      </c>
      <c r="C9" s="18" t="s">
        <v>79</v>
      </c>
      <c r="D9" s="17">
        <v>34744.950199999999</v>
      </c>
      <c r="E9" s="21">
        <v>213484.24</v>
      </c>
      <c r="F9" s="17">
        <v>31224.22</v>
      </c>
      <c r="G9" s="89">
        <v>189015.16</v>
      </c>
      <c r="H9" s="14">
        <v>4866.2775000000001</v>
      </c>
      <c r="I9" s="13">
        <v>29899.67</v>
      </c>
      <c r="J9" s="14">
        <v>55467.38</v>
      </c>
      <c r="K9" s="13">
        <v>314313.59000000003</v>
      </c>
      <c r="L9" s="14">
        <v>20382.599999999999</v>
      </c>
      <c r="M9" s="13">
        <v>79352.02</v>
      </c>
      <c r="N9" s="12"/>
      <c r="O9" s="7"/>
      <c r="P9" s="14"/>
      <c r="Q9" s="13"/>
      <c r="R9" s="14"/>
      <c r="S9" s="13"/>
      <c r="T9" s="12"/>
      <c r="U9" s="7"/>
      <c r="V9" s="12"/>
      <c r="W9" s="7"/>
      <c r="X9" s="12"/>
      <c r="Y9" s="7"/>
      <c r="Z9" s="12"/>
      <c r="AA9" s="7"/>
    </row>
    <row r="10" spans="1:27" ht="15.75" x14ac:dyDescent="0.25">
      <c r="A10" s="19" t="s">
        <v>78</v>
      </c>
      <c r="B10" s="18" t="s">
        <v>77</v>
      </c>
      <c r="C10" s="18" t="s">
        <v>117</v>
      </c>
      <c r="D10" s="17">
        <v>38024.863400000002</v>
      </c>
      <c r="E10" s="21">
        <v>233637.08</v>
      </c>
      <c r="F10" s="17">
        <v>30744.67</v>
      </c>
      <c r="G10" s="88">
        <v>185800.86</v>
      </c>
      <c r="H10" s="14">
        <v>36145.303</v>
      </c>
      <c r="I10" s="13">
        <v>200469.43</v>
      </c>
      <c r="J10" s="14">
        <v>36203.26</v>
      </c>
      <c r="K10" s="13">
        <v>188724.4</v>
      </c>
      <c r="L10" s="14">
        <v>34225.379999999997</v>
      </c>
      <c r="M10" s="13">
        <v>180342.73</v>
      </c>
      <c r="N10" s="12"/>
      <c r="O10" s="7"/>
      <c r="P10" s="14"/>
      <c r="Q10" s="13"/>
      <c r="R10" s="14"/>
      <c r="S10" s="13"/>
      <c r="T10" s="12"/>
      <c r="U10" s="22"/>
      <c r="V10" s="12"/>
      <c r="W10" s="22"/>
      <c r="X10" s="12"/>
      <c r="Y10" s="22"/>
      <c r="Z10" s="12"/>
      <c r="AA10" s="22"/>
    </row>
    <row r="11" spans="1:27" ht="15.75" x14ac:dyDescent="0.25">
      <c r="A11" s="19" t="s">
        <v>76</v>
      </c>
      <c r="B11" s="18" t="s">
        <v>75</v>
      </c>
      <c r="C11" s="18" t="s">
        <v>74</v>
      </c>
      <c r="D11" s="17">
        <v>27905.667600000001</v>
      </c>
      <c r="E11" s="21">
        <v>171461.48</v>
      </c>
      <c r="F11" s="17">
        <v>26976.240000000002</v>
      </c>
      <c r="G11" s="89">
        <v>163472.51</v>
      </c>
      <c r="H11" s="14">
        <v>27832.187900000001</v>
      </c>
      <c r="I11" s="13">
        <v>152040.82999999999</v>
      </c>
      <c r="J11" s="14">
        <v>22785.53</v>
      </c>
      <c r="K11" s="13">
        <v>114036.83</v>
      </c>
      <c r="L11" s="14">
        <v>19962.05</v>
      </c>
      <c r="M11" s="13">
        <v>103803.97</v>
      </c>
      <c r="N11" s="12"/>
      <c r="O11" s="7"/>
      <c r="P11" s="14"/>
      <c r="Q11" s="13"/>
      <c r="R11" s="14"/>
      <c r="S11" s="13"/>
      <c r="T11" s="12"/>
      <c r="U11" s="7"/>
      <c r="V11" s="12"/>
      <c r="W11" s="7"/>
      <c r="X11" s="12"/>
      <c r="Y11" s="7"/>
      <c r="Z11" s="12"/>
      <c r="AA11" s="7"/>
    </row>
    <row r="12" spans="1:27" ht="15.75" x14ac:dyDescent="0.25">
      <c r="A12" s="19" t="s">
        <v>73</v>
      </c>
      <c r="B12" s="18" t="s">
        <v>72</v>
      </c>
      <c r="C12" s="18" t="s">
        <v>71</v>
      </c>
      <c r="D12" s="17">
        <v>28916.1764</v>
      </c>
      <c r="E12" s="21">
        <v>177670.36</v>
      </c>
      <c r="F12" s="17">
        <v>23458.28</v>
      </c>
      <c r="G12" s="88">
        <v>141774.51999999999</v>
      </c>
      <c r="H12" s="14">
        <v>28233.073799999998</v>
      </c>
      <c r="I12" s="13">
        <v>156977.78</v>
      </c>
      <c r="J12" s="14">
        <v>20722.43</v>
      </c>
      <c r="K12" s="13">
        <v>100986.48</v>
      </c>
      <c r="L12" s="14">
        <v>14257.12</v>
      </c>
      <c r="M12" s="13">
        <v>70457.78</v>
      </c>
      <c r="N12" s="12"/>
      <c r="O12" s="7"/>
      <c r="P12" s="14"/>
      <c r="Q12" s="13"/>
      <c r="R12" s="14"/>
      <c r="S12" s="13"/>
      <c r="T12" s="12"/>
      <c r="U12" s="7"/>
      <c r="V12" s="12"/>
      <c r="W12" s="7"/>
      <c r="X12" s="12"/>
      <c r="Y12" s="7"/>
      <c r="Z12" s="12"/>
      <c r="AA12" s="7"/>
    </row>
    <row r="13" spans="1:27" ht="15.75" x14ac:dyDescent="0.25">
      <c r="A13" s="19" t="s">
        <v>70</v>
      </c>
      <c r="B13" s="18" t="s">
        <v>69</v>
      </c>
      <c r="C13" s="18" t="s">
        <v>68</v>
      </c>
      <c r="D13" s="17">
        <v>31287.357</v>
      </c>
      <c r="E13" s="21">
        <v>192239.68</v>
      </c>
      <c r="F13" s="17">
        <v>21736.38</v>
      </c>
      <c r="G13" s="89">
        <v>131001.02</v>
      </c>
      <c r="H13" s="14">
        <v>25543.802899999999</v>
      </c>
      <c r="I13" s="13">
        <v>141664.81</v>
      </c>
      <c r="J13" s="14">
        <v>21910.26</v>
      </c>
      <c r="K13" s="13">
        <v>110793.76</v>
      </c>
      <c r="L13" s="14">
        <v>14287.14</v>
      </c>
      <c r="M13" s="13">
        <v>69659.59</v>
      </c>
      <c r="N13" s="24"/>
      <c r="O13" s="7"/>
      <c r="P13" s="14"/>
      <c r="Q13" s="13"/>
      <c r="R13" s="14"/>
      <c r="S13" s="13"/>
      <c r="T13" s="12"/>
      <c r="U13" s="7"/>
      <c r="V13" s="12"/>
      <c r="W13" s="7"/>
      <c r="X13" s="12"/>
      <c r="Y13" s="7"/>
      <c r="Z13" s="12"/>
      <c r="AA13" s="7"/>
    </row>
    <row r="14" spans="1:27" ht="15.75" x14ac:dyDescent="0.25">
      <c r="A14" s="19" t="s">
        <v>67</v>
      </c>
      <c r="B14" s="18" t="s">
        <v>66</v>
      </c>
      <c r="C14" s="18" t="s">
        <v>65</v>
      </c>
      <c r="D14" s="17">
        <v>21979.261500000001</v>
      </c>
      <c r="E14" s="21">
        <v>135047.70000000001</v>
      </c>
      <c r="F14" s="17">
        <v>19337.939999999999</v>
      </c>
      <c r="G14" s="88">
        <v>117024.16</v>
      </c>
      <c r="H14" s="14">
        <v>21944.066900000002</v>
      </c>
      <c r="I14" s="13">
        <v>121233.42</v>
      </c>
      <c r="J14" s="14">
        <v>18909.45</v>
      </c>
      <c r="K14" s="13">
        <v>95714.03</v>
      </c>
      <c r="L14" s="14">
        <v>15030.27</v>
      </c>
      <c r="M14" s="13">
        <v>76708.02</v>
      </c>
      <c r="N14" s="12"/>
      <c r="O14" s="7"/>
      <c r="P14" s="14"/>
      <c r="Q14" s="13"/>
      <c r="R14" s="14"/>
      <c r="S14" s="13"/>
      <c r="T14" s="12"/>
      <c r="U14" s="7"/>
      <c r="V14" s="12"/>
      <c r="W14" s="7"/>
      <c r="X14" s="12"/>
      <c r="Y14" s="7"/>
      <c r="Z14" s="12"/>
      <c r="AA14" s="7"/>
    </row>
    <row r="15" spans="1:27" ht="15.75" x14ac:dyDescent="0.25">
      <c r="A15" s="19" t="s">
        <v>64</v>
      </c>
      <c r="B15" s="26" t="s">
        <v>63</v>
      </c>
      <c r="C15" s="26" t="s">
        <v>62</v>
      </c>
      <c r="D15" s="17">
        <v>20631.129400000002</v>
      </c>
      <c r="E15" s="21">
        <v>126764.34</v>
      </c>
      <c r="F15" s="17">
        <v>19535.64</v>
      </c>
      <c r="G15" s="89">
        <v>118348.97</v>
      </c>
      <c r="H15" s="14">
        <v>18117.279399999999</v>
      </c>
      <c r="I15" s="25">
        <v>97581.38</v>
      </c>
      <c r="J15" s="14">
        <v>16050.45</v>
      </c>
      <c r="K15" s="25">
        <v>81717.460000000006</v>
      </c>
      <c r="L15" s="14">
        <v>14271.08</v>
      </c>
      <c r="M15" s="25">
        <v>74408.45</v>
      </c>
      <c r="N15" s="24"/>
      <c r="O15" s="7"/>
      <c r="P15" s="14"/>
      <c r="Q15" s="25"/>
      <c r="R15" s="14"/>
      <c r="S15" s="25"/>
      <c r="T15" s="12"/>
      <c r="U15" s="7"/>
      <c r="V15" s="12"/>
      <c r="W15" s="7"/>
      <c r="X15" s="12"/>
      <c r="Y15" s="7"/>
      <c r="Z15" s="12"/>
      <c r="AA15" s="7"/>
    </row>
    <row r="16" spans="1:27" ht="15.75" x14ac:dyDescent="0.25">
      <c r="A16" s="19" t="s">
        <v>61</v>
      </c>
      <c r="B16" s="18" t="s">
        <v>60</v>
      </c>
      <c r="C16" s="18" t="s">
        <v>59</v>
      </c>
      <c r="D16" s="17">
        <v>14522.097</v>
      </c>
      <c r="E16" s="21">
        <v>89412.800000000003</v>
      </c>
      <c r="F16" s="17">
        <v>11576.82</v>
      </c>
      <c r="G16" s="88">
        <v>69943.69</v>
      </c>
      <c r="H16" s="14">
        <v>15996.960300000001</v>
      </c>
      <c r="I16" s="13">
        <v>90149.92</v>
      </c>
      <c r="J16" s="14">
        <v>11269.08</v>
      </c>
      <c r="K16" s="13">
        <v>54317.22</v>
      </c>
      <c r="L16" s="14">
        <v>8376.6</v>
      </c>
      <c r="M16" s="13">
        <v>42146.22</v>
      </c>
      <c r="N16" s="24"/>
      <c r="O16" s="23"/>
      <c r="P16" s="14"/>
      <c r="Q16" s="13"/>
      <c r="R16" s="14"/>
      <c r="S16" s="13"/>
      <c r="T16" s="12"/>
      <c r="U16" s="7"/>
      <c r="V16" s="12"/>
      <c r="W16" s="7"/>
      <c r="X16" s="12"/>
      <c r="Y16" s="7"/>
      <c r="Z16" s="12"/>
      <c r="AA16" s="7"/>
    </row>
    <row r="17" spans="1:27" ht="15.75" x14ac:dyDescent="0.25">
      <c r="A17" s="19" t="s">
        <v>58</v>
      </c>
      <c r="B17" s="18" t="s">
        <v>57</v>
      </c>
      <c r="C17" s="18" t="s">
        <v>56</v>
      </c>
      <c r="D17" s="17">
        <v>12859.519899999999</v>
      </c>
      <c r="E17" s="21">
        <v>79013.06</v>
      </c>
      <c r="F17" s="17">
        <v>12269.12</v>
      </c>
      <c r="G17" s="89">
        <v>74335.58</v>
      </c>
      <c r="H17" s="14">
        <v>11774.5604</v>
      </c>
      <c r="I17" s="13">
        <v>63719.32</v>
      </c>
      <c r="J17" s="14">
        <v>11921.6</v>
      </c>
      <c r="K17" s="13">
        <v>62265.62</v>
      </c>
      <c r="L17" s="14">
        <v>10446.879999999999</v>
      </c>
      <c r="M17" s="13">
        <v>54326.879999999997</v>
      </c>
      <c r="N17" s="12"/>
      <c r="O17" s="7"/>
      <c r="P17" s="14"/>
      <c r="Q17" s="13"/>
      <c r="R17" s="14"/>
      <c r="S17" s="13"/>
      <c r="T17" s="12"/>
      <c r="U17" s="7"/>
      <c r="V17" s="12"/>
      <c r="W17" s="7"/>
      <c r="X17" s="12"/>
      <c r="Y17" s="7"/>
      <c r="Z17" s="12"/>
      <c r="AA17" s="7"/>
    </row>
    <row r="18" spans="1:27" ht="15.75" x14ac:dyDescent="0.25">
      <c r="A18" s="19" t="s">
        <v>55</v>
      </c>
      <c r="B18" s="18" t="s">
        <v>54</v>
      </c>
      <c r="C18" s="18" t="s">
        <v>53</v>
      </c>
      <c r="D18" s="17">
        <v>10415.202300000001</v>
      </c>
      <c r="E18" s="21">
        <v>63994.39</v>
      </c>
      <c r="F18" s="17">
        <v>9475.42</v>
      </c>
      <c r="G18" s="88">
        <v>63586.27</v>
      </c>
      <c r="H18" s="14">
        <v>10425.552600000001</v>
      </c>
      <c r="I18" s="13">
        <v>57395.05</v>
      </c>
      <c r="J18" s="14">
        <v>8765.42</v>
      </c>
      <c r="K18" s="13">
        <v>44131.49</v>
      </c>
      <c r="L18" s="14">
        <v>10053.99</v>
      </c>
      <c r="M18" s="13">
        <v>54523.81</v>
      </c>
      <c r="N18" s="12"/>
      <c r="O18" s="23"/>
      <c r="P18" s="14"/>
      <c r="Q18" s="13"/>
      <c r="R18" s="14"/>
      <c r="S18" s="13"/>
      <c r="T18" s="12"/>
      <c r="U18" s="7"/>
      <c r="V18" s="12"/>
      <c r="W18" s="7"/>
      <c r="X18" s="12"/>
      <c r="Y18" s="7"/>
      <c r="Z18" s="12"/>
      <c r="AA18" s="7"/>
    </row>
    <row r="19" spans="1:27" ht="15.75" x14ac:dyDescent="0.25">
      <c r="A19" s="19" t="s">
        <v>52</v>
      </c>
      <c r="B19" s="18" t="s">
        <v>51</v>
      </c>
      <c r="C19" s="18" t="s">
        <v>50</v>
      </c>
      <c r="D19" s="17">
        <v>7053.9975999999997</v>
      </c>
      <c r="E19" s="21">
        <v>43342.06</v>
      </c>
      <c r="F19" s="17">
        <v>6248.4</v>
      </c>
      <c r="G19" s="89">
        <v>37816.31</v>
      </c>
      <c r="H19" s="14">
        <v>6462.4795999999997</v>
      </c>
      <c r="I19" s="13">
        <v>35313.83</v>
      </c>
      <c r="J19" s="14">
        <v>6303.12</v>
      </c>
      <c r="K19" s="13">
        <v>32699.54</v>
      </c>
      <c r="L19" s="14">
        <v>5778.16</v>
      </c>
      <c r="M19" s="13">
        <v>30288.65</v>
      </c>
      <c r="N19" s="12"/>
      <c r="O19" s="7"/>
      <c r="P19" s="14"/>
      <c r="Q19" s="13"/>
      <c r="R19" s="14"/>
      <c r="S19" s="13"/>
      <c r="T19" s="12"/>
      <c r="U19" s="7"/>
      <c r="V19" s="12"/>
      <c r="W19" s="7"/>
      <c r="X19" s="12"/>
      <c r="Y19" s="7"/>
      <c r="Z19" s="12"/>
      <c r="AA19" s="7"/>
    </row>
    <row r="20" spans="1:27" ht="15.75" x14ac:dyDescent="0.25">
      <c r="A20" s="19" t="s">
        <v>49</v>
      </c>
      <c r="B20" s="18" t="s">
        <v>48</v>
      </c>
      <c r="C20" s="18" t="s">
        <v>47</v>
      </c>
      <c r="D20" s="17">
        <v>28716.0762</v>
      </c>
      <c r="E20" s="21">
        <v>176440.87</v>
      </c>
      <c r="F20" s="17">
        <v>19564.95</v>
      </c>
      <c r="G20" s="88">
        <v>117868.97</v>
      </c>
      <c r="H20" s="14">
        <v>25995.748200000002</v>
      </c>
      <c r="I20" s="13">
        <v>145968.65</v>
      </c>
      <c r="J20" s="14">
        <v>22204.2</v>
      </c>
      <c r="K20" s="13">
        <v>112178.22</v>
      </c>
      <c r="L20" s="14">
        <v>18393.669999999998</v>
      </c>
      <c r="M20" s="13">
        <v>94648.3</v>
      </c>
      <c r="N20" s="12"/>
      <c r="O20" s="7"/>
      <c r="P20" s="14"/>
      <c r="Q20" s="13"/>
      <c r="R20" s="14"/>
      <c r="S20" s="13"/>
      <c r="T20" s="12"/>
      <c r="U20" s="7"/>
      <c r="V20" s="12"/>
      <c r="W20" s="7"/>
      <c r="X20" s="12"/>
      <c r="Y20" s="7"/>
      <c r="Z20" s="12"/>
      <c r="AA20" s="7"/>
    </row>
    <row r="21" spans="1:27" ht="15.75" x14ac:dyDescent="0.25">
      <c r="A21" s="19" t="s">
        <v>46</v>
      </c>
      <c r="B21" s="18" t="s">
        <v>45</v>
      </c>
      <c r="C21" s="18" t="s">
        <v>44</v>
      </c>
      <c r="D21" s="17">
        <v>31904.220700000002</v>
      </c>
      <c r="E21" s="21">
        <v>196029.86</v>
      </c>
      <c r="F21" s="17">
        <v>36294</v>
      </c>
      <c r="G21" s="89">
        <v>220397.4</v>
      </c>
      <c r="H21" s="14">
        <v>38558.582600000002</v>
      </c>
      <c r="I21" s="13">
        <v>211395.23</v>
      </c>
      <c r="J21" s="14">
        <v>41031.54</v>
      </c>
      <c r="K21" s="13">
        <v>216139.54</v>
      </c>
      <c r="L21" s="14">
        <v>24090.66</v>
      </c>
      <c r="M21" s="13">
        <v>114077.53</v>
      </c>
      <c r="N21" s="12"/>
      <c r="O21" s="7"/>
      <c r="P21" s="14"/>
      <c r="Q21" s="13"/>
      <c r="R21" s="14"/>
      <c r="S21" s="13"/>
      <c r="T21" s="12"/>
      <c r="U21" s="7"/>
      <c r="V21" s="12"/>
      <c r="W21" s="7"/>
      <c r="X21" s="12"/>
      <c r="Y21" s="7"/>
      <c r="Z21" s="12"/>
      <c r="AA21" s="7"/>
    </row>
    <row r="22" spans="1:27" ht="15.75" x14ac:dyDescent="0.25">
      <c r="A22" s="19" t="s">
        <v>43</v>
      </c>
      <c r="B22" s="18" t="s">
        <v>42</v>
      </c>
      <c r="C22" s="18" t="s">
        <v>41</v>
      </c>
      <c r="D22" s="17">
        <v>6813.5181000000002</v>
      </c>
      <c r="E22" s="21">
        <v>41864.47</v>
      </c>
      <c r="F22" s="17">
        <v>5806.96</v>
      </c>
      <c r="G22" s="88">
        <v>35123.589999999997</v>
      </c>
      <c r="H22" s="14">
        <v>4860.8017</v>
      </c>
      <c r="I22" s="13">
        <v>25783</v>
      </c>
      <c r="J22" s="14">
        <v>3861.04</v>
      </c>
      <c r="K22" s="13">
        <v>19188.82</v>
      </c>
      <c r="L22" s="14">
        <v>2811.92</v>
      </c>
      <c r="M22" s="13">
        <v>14083.3</v>
      </c>
      <c r="N22" s="12"/>
      <c r="O22" s="7"/>
      <c r="P22" s="14"/>
      <c r="Q22" s="13"/>
      <c r="R22" s="14"/>
      <c r="S22" s="13"/>
      <c r="T22" s="12"/>
      <c r="U22" s="7"/>
      <c r="V22" s="12"/>
      <c r="W22" s="7"/>
      <c r="X22" s="12"/>
      <c r="Y22" s="7"/>
      <c r="Z22" s="12"/>
      <c r="AA22" s="7"/>
    </row>
    <row r="23" spans="1:27" ht="15.75" x14ac:dyDescent="0.25">
      <c r="A23" s="19" t="s">
        <v>40</v>
      </c>
      <c r="B23" s="18" t="s">
        <v>39</v>
      </c>
      <c r="C23" s="18" t="s">
        <v>38</v>
      </c>
      <c r="D23" s="17">
        <v>7158.0774000000001</v>
      </c>
      <c r="E23" s="21">
        <v>43981.55</v>
      </c>
      <c r="F23" s="17">
        <v>6195.28</v>
      </c>
      <c r="G23" s="89">
        <v>37481.410000000003</v>
      </c>
      <c r="H23" s="14">
        <v>6570.7223999999997</v>
      </c>
      <c r="I23" s="13">
        <v>36016.25</v>
      </c>
      <c r="J23" s="14">
        <v>4921.84</v>
      </c>
      <c r="K23" s="13">
        <v>24111.52</v>
      </c>
      <c r="L23" s="14">
        <v>3756</v>
      </c>
      <c r="M23" s="13">
        <v>19006.490000000002</v>
      </c>
      <c r="N23" s="12"/>
      <c r="O23" s="23"/>
      <c r="P23" s="14"/>
      <c r="Q23" s="13"/>
      <c r="R23" s="14"/>
      <c r="S23" s="13"/>
      <c r="T23" s="12"/>
      <c r="U23" s="7"/>
      <c r="V23" s="12"/>
      <c r="W23" s="7"/>
      <c r="X23" s="12"/>
      <c r="Y23" s="7"/>
      <c r="Z23" s="12"/>
      <c r="AA23" s="7"/>
    </row>
    <row r="24" spans="1:27" ht="15.75" x14ac:dyDescent="0.25">
      <c r="A24" s="19" t="s">
        <v>37</v>
      </c>
      <c r="B24" s="18" t="s">
        <v>36</v>
      </c>
      <c r="C24" s="18" t="s">
        <v>35</v>
      </c>
      <c r="D24" s="17">
        <v>7816.4690000000001</v>
      </c>
      <c r="E24" s="21">
        <v>48026.93</v>
      </c>
      <c r="F24" s="17">
        <v>7811.82</v>
      </c>
      <c r="G24" s="88">
        <v>47360.2</v>
      </c>
      <c r="H24" s="14">
        <v>8976.4691999999995</v>
      </c>
      <c r="I24" s="13">
        <v>49661.24</v>
      </c>
      <c r="J24" s="14">
        <v>6595.16</v>
      </c>
      <c r="K24" s="13">
        <v>32148.6</v>
      </c>
      <c r="L24" s="14">
        <v>4760.2700000000004</v>
      </c>
      <c r="M24" s="13">
        <v>23792.81</v>
      </c>
      <c r="N24" s="12"/>
      <c r="O24" s="20"/>
      <c r="P24" s="14"/>
      <c r="Q24" s="13"/>
      <c r="R24" s="14"/>
      <c r="S24" s="13"/>
      <c r="T24" s="12"/>
      <c r="U24" s="7"/>
      <c r="V24" s="12"/>
      <c r="W24" s="7"/>
      <c r="X24" s="12"/>
      <c r="Y24" s="7"/>
      <c r="Z24" s="12"/>
      <c r="AA24" s="7"/>
    </row>
    <row r="25" spans="1:27" ht="15.75" x14ac:dyDescent="0.25">
      <c r="A25" s="19" t="s">
        <v>34</v>
      </c>
      <c r="B25" s="18" t="s">
        <v>33</v>
      </c>
      <c r="C25" s="18" t="s">
        <v>32</v>
      </c>
      <c r="D25" s="17">
        <v>4659.6797999999999</v>
      </c>
      <c r="E25" s="21">
        <v>28630.58</v>
      </c>
      <c r="F25" s="17">
        <v>4957.4399999999996</v>
      </c>
      <c r="G25" s="89">
        <v>30079.69</v>
      </c>
      <c r="H25" s="14">
        <v>7118.8784999999998</v>
      </c>
      <c r="I25" s="13">
        <v>40254.730000000003</v>
      </c>
      <c r="J25" s="14">
        <v>4869.92</v>
      </c>
      <c r="K25" s="13">
        <v>23281.13</v>
      </c>
      <c r="L25" s="14">
        <v>4429.6000000000004</v>
      </c>
      <c r="M25" s="13">
        <v>23188.26</v>
      </c>
      <c r="N25" s="12"/>
      <c r="O25" s="7"/>
      <c r="P25" s="14"/>
      <c r="Q25" s="13"/>
      <c r="R25" s="14"/>
      <c r="S25" s="13"/>
      <c r="T25" s="12"/>
      <c r="U25" s="22"/>
      <c r="V25" s="12"/>
      <c r="W25" s="22"/>
      <c r="X25" s="12"/>
      <c r="Y25" s="22"/>
      <c r="Z25" s="12"/>
      <c r="AA25" s="22"/>
    </row>
    <row r="26" spans="1:27" ht="15.75" x14ac:dyDescent="0.25">
      <c r="A26" s="19" t="s">
        <v>31</v>
      </c>
      <c r="B26" s="18" t="s">
        <v>30</v>
      </c>
      <c r="C26" s="18" t="s">
        <v>29</v>
      </c>
      <c r="D26" s="17">
        <v>4400.4290000000001</v>
      </c>
      <c r="E26" s="21">
        <v>27037.67</v>
      </c>
      <c r="F26" s="17">
        <v>3908.09</v>
      </c>
      <c r="G26" s="88">
        <v>23653.33</v>
      </c>
      <c r="H26" s="14">
        <v>4468.2798000000003</v>
      </c>
      <c r="I26" s="13">
        <v>24706.46</v>
      </c>
      <c r="J26" s="14">
        <v>4170.8</v>
      </c>
      <c r="K26" s="13">
        <v>21458.26</v>
      </c>
      <c r="L26" s="14">
        <v>3699.58</v>
      </c>
      <c r="M26" s="13">
        <v>19120.02</v>
      </c>
      <c r="N26" s="12"/>
      <c r="O26" s="7"/>
      <c r="P26" s="14"/>
      <c r="Q26" s="13"/>
      <c r="R26" s="14"/>
      <c r="S26" s="13"/>
      <c r="T26" s="12"/>
      <c r="U26" s="7"/>
      <c r="V26" s="12"/>
      <c r="W26" s="7"/>
      <c r="X26" s="12"/>
      <c r="Y26" s="7"/>
      <c r="Z26" s="12"/>
      <c r="AA26" s="7"/>
    </row>
    <row r="27" spans="1:27" ht="15.75" x14ac:dyDescent="0.25">
      <c r="A27" s="19" t="s">
        <v>28</v>
      </c>
      <c r="B27" s="18" t="s">
        <v>27</v>
      </c>
      <c r="C27" s="18" t="s">
        <v>183</v>
      </c>
      <c r="D27" s="17">
        <v>25670.0681</v>
      </c>
      <c r="E27" s="21">
        <v>157725.22</v>
      </c>
      <c r="F27" s="17">
        <v>22165.56</v>
      </c>
      <c r="G27" s="89">
        <v>147107.94</v>
      </c>
      <c r="H27" s="14">
        <v>25127.7317</v>
      </c>
      <c r="I27" s="13">
        <v>153132.12</v>
      </c>
      <c r="J27" s="14">
        <v>23299.919999999998</v>
      </c>
      <c r="K27" s="13">
        <v>141761.72</v>
      </c>
      <c r="L27" s="14">
        <v>16433.73</v>
      </c>
      <c r="M27" s="13">
        <v>101347.12</v>
      </c>
      <c r="N27" s="12"/>
      <c r="O27" s="7"/>
      <c r="P27" s="14"/>
      <c r="Q27" s="13"/>
      <c r="R27" s="14"/>
      <c r="S27" s="13"/>
      <c r="T27" s="12"/>
      <c r="U27" s="22"/>
      <c r="V27" s="12"/>
      <c r="W27" s="22"/>
      <c r="X27" s="12"/>
      <c r="Y27" s="22"/>
      <c r="Z27" s="12"/>
      <c r="AA27" s="22"/>
    </row>
    <row r="28" spans="1:27" ht="15.75" x14ac:dyDescent="0.25">
      <c r="A28" s="19" t="s">
        <v>25</v>
      </c>
      <c r="B28" s="18" t="s">
        <v>24</v>
      </c>
      <c r="C28" s="18" t="s">
        <v>23</v>
      </c>
      <c r="D28" s="17">
        <v>0</v>
      </c>
      <c r="E28" s="21">
        <v>0</v>
      </c>
      <c r="F28" s="17">
        <v>0</v>
      </c>
      <c r="G28" s="88">
        <v>0</v>
      </c>
      <c r="H28" s="14">
        <v>0</v>
      </c>
      <c r="I28" s="13">
        <v>0</v>
      </c>
      <c r="J28" s="14">
        <v>0</v>
      </c>
      <c r="K28" s="13">
        <v>0</v>
      </c>
      <c r="L28" s="14">
        <v>0</v>
      </c>
      <c r="M28" s="13">
        <v>0</v>
      </c>
      <c r="N28" s="12"/>
      <c r="O28" s="7"/>
      <c r="P28" s="14"/>
      <c r="Q28" s="13"/>
      <c r="R28" s="14"/>
      <c r="S28" s="13"/>
      <c r="T28" s="12"/>
      <c r="U28" s="22"/>
      <c r="V28" s="12"/>
      <c r="W28" s="22"/>
      <c r="X28" s="12"/>
      <c r="Y28" s="22"/>
      <c r="Z28" s="12"/>
      <c r="AA28" s="22"/>
    </row>
    <row r="29" spans="1:27" ht="15.75" x14ac:dyDescent="0.25">
      <c r="A29" s="19" t="s">
        <v>22</v>
      </c>
      <c r="B29" s="18" t="s">
        <v>21</v>
      </c>
      <c r="C29" s="18" t="s">
        <v>20</v>
      </c>
      <c r="D29" s="17">
        <v>5373.4826000000003</v>
      </c>
      <c r="E29" s="21">
        <v>34961.18</v>
      </c>
      <c r="F29" s="17">
        <v>4226.7299999999996</v>
      </c>
      <c r="G29" s="88">
        <v>27062.59</v>
      </c>
      <c r="H29" s="14">
        <v>5124.9008000000003</v>
      </c>
      <c r="I29" s="13">
        <v>30379.55</v>
      </c>
      <c r="J29" s="14">
        <v>4005.63</v>
      </c>
      <c r="K29" s="13">
        <v>21280.55</v>
      </c>
      <c r="L29" s="14">
        <v>3199.56</v>
      </c>
      <c r="M29" s="13">
        <v>17921.82</v>
      </c>
      <c r="N29" s="12"/>
      <c r="O29" s="7"/>
      <c r="P29" s="14"/>
      <c r="Q29" s="13"/>
      <c r="R29" s="14"/>
      <c r="S29" s="13"/>
      <c r="T29" s="12"/>
      <c r="U29" s="22"/>
      <c r="V29" s="12"/>
      <c r="W29" s="22"/>
      <c r="X29" s="12"/>
      <c r="Y29" s="22"/>
      <c r="Z29" s="12"/>
      <c r="AA29" s="22"/>
    </row>
    <row r="30" spans="1:27" ht="15.75" x14ac:dyDescent="0.25">
      <c r="A30" s="19" t="s">
        <v>19</v>
      </c>
      <c r="B30" s="18" t="s">
        <v>18</v>
      </c>
      <c r="C30" s="18" t="s">
        <v>177</v>
      </c>
      <c r="D30" s="17">
        <v>6587.8523999999998</v>
      </c>
      <c r="E30" s="21">
        <v>42862.16</v>
      </c>
      <c r="F30" s="17">
        <v>5592.95</v>
      </c>
      <c r="G30" s="89">
        <v>35852.68</v>
      </c>
      <c r="H30" s="14">
        <v>5794.7491</v>
      </c>
      <c r="I30" s="13">
        <v>33779.599999999999</v>
      </c>
      <c r="J30" s="14">
        <v>3975.55</v>
      </c>
      <c r="K30" s="13">
        <v>20459.93</v>
      </c>
      <c r="L30" s="14">
        <v>2349.9499999999998</v>
      </c>
      <c r="M30" s="13">
        <v>12415.78</v>
      </c>
      <c r="N30" s="12"/>
      <c r="O30" s="20"/>
      <c r="P30" s="14"/>
      <c r="Q30" s="13"/>
      <c r="R30" s="14"/>
      <c r="S30" s="13"/>
      <c r="T30" s="12"/>
      <c r="U30" s="7"/>
      <c r="V30" s="12"/>
      <c r="W30" s="7"/>
      <c r="X30" s="12"/>
      <c r="Y30" s="7"/>
      <c r="Z30" s="12"/>
      <c r="AA30" s="7"/>
    </row>
    <row r="31" spans="1:27" ht="15.75" x14ac:dyDescent="0.25">
      <c r="A31" s="19" t="s">
        <v>16</v>
      </c>
      <c r="B31" s="18" t="s">
        <v>15</v>
      </c>
      <c r="C31" s="18" t="s">
        <v>14</v>
      </c>
      <c r="D31" s="17">
        <v>5860.6804000000002</v>
      </c>
      <c r="E31" s="21">
        <v>38131.019999999997</v>
      </c>
      <c r="F31" s="17">
        <v>4565.82</v>
      </c>
      <c r="G31" s="88">
        <v>29229.13</v>
      </c>
      <c r="H31" s="14">
        <v>3225.1826000000001</v>
      </c>
      <c r="I31" s="13">
        <v>17781.71</v>
      </c>
      <c r="J31" s="14">
        <v>4802.28</v>
      </c>
      <c r="K31" s="13">
        <v>28236</v>
      </c>
      <c r="L31" s="14">
        <v>2896.8</v>
      </c>
      <c r="M31" s="13">
        <v>15376.14</v>
      </c>
      <c r="N31" s="12"/>
      <c r="O31" s="7"/>
      <c r="P31" s="14"/>
      <c r="Q31" s="13"/>
      <c r="R31" s="14"/>
      <c r="S31" s="13"/>
      <c r="T31" s="12"/>
      <c r="U31" s="7"/>
      <c r="V31" s="12"/>
      <c r="W31" s="7"/>
      <c r="X31" s="12"/>
      <c r="Y31" s="7"/>
      <c r="Z31" s="12"/>
      <c r="AA31" s="7"/>
    </row>
    <row r="32" spans="1:27" ht="15.75" x14ac:dyDescent="0.25">
      <c r="A32" s="19" t="s">
        <v>13</v>
      </c>
      <c r="B32" s="18" t="s">
        <v>12</v>
      </c>
      <c r="C32" s="18" t="s">
        <v>184</v>
      </c>
      <c r="D32" s="17">
        <v>5745.4418999999998</v>
      </c>
      <c r="E32" s="21">
        <v>37381.24</v>
      </c>
      <c r="F32" s="17">
        <v>5187.3900000000003</v>
      </c>
      <c r="G32" s="89">
        <v>33282.58</v>
      </c>
      <c r="H32" s="14">
        <v>5408.6854000000003</v>
      </c>
      <c r="I32" s="13">
        <v>31552.18</v>
      </c>
      <c r="J32" s="14">
        <v>4470.97</v>
      </c>
      <c r="K32" s="13">
        <v>24043.39</v>
      </c>
      <c r="L32" s="14">
        <v>3112.3</v>
      </c>
      <c r="M32" s="13">
        <v>16289.26</v>
      </c>
      <c r="N32" s="12"/>
      <c r="O32" s="7"/>
      <c r="P32" s="14"/>
      <c r="Q32" s="13"/>
      <c r="R32" s="14"/>
      <c r="S32" s="13"/>
      <c r="T32" s="12"/>
      <c r="U32" s="22"/>
      <c r="V32" s="12"/>
      <c r="W32" s="22"/>
      <c r="X32" s="12"/>
      <c r="Y32" s="22"/>
      <c r="Z32" s="12"/>
      <c r="AA32" s="22"/>
    </row>
    <row r="33" spans="1:27" ht="15.75" x14ac:dyDescent="0.25">
      <c r="A33" s="19" t="s">
        <v>10</v>
      </c>
      <c r="B33" s="18" t="s">
        <v>9</v>
      </c>
      <c r="C33" s="18" t="s">
        <v>8</v>
      </c>
      <c r="D33" s="17">
        <v>3581.2422000000001</v>
      </c>
      <c r="E33" s="21">
        <v>23300.44</v>
      </c>
      <c r="F33" s="17">
        <v>3262.2</v>
      </c>
      <c r="G33" s="88">
        <v>20933.080000000002</v>
      </c>
      <c r="H33" s="14">
        <v>3476.9976000000001</v>
      </c>
      <c r="I33" s="13">
        <v>20334.36</v>
      </c>
      <c r="J33" s="14">
        <v>3440.32</v>
      </c>
      <c r="K33" s="13">
        <v>19139.830000000002</v>
      </c>
      <c r="L33" s="14">
        <v>3369.48</v>
      </c>
      <c r="M33" s="13">
        <v>19294.490000000002</v>
      </c>
      <c r="N33" s="12"/>
      <c r="O33" s="7"/>
      <c r="P33" s="14"/>
      <c r="Q33" s="13"/>
      <c r="R33" s="14"/>
      <c r="S33" s="13"/>
      <c r="T33" s="12"/>
      <c r="U33" s="7"/>
      <c r="V33" s="12"/>
      <c r="W33" s="7"/>
      <c r="X33" s="12"/>
      <c r="Y33" s="7"/>
      <c r="Z33" s="12"/>
      <c r="AA33" s="7"/>
    </row>
    <row r="34" spans="1:27" ht="15.75" x14ac:dyDescent="0.25">
      <c r="A34" s="19">
        <v>31</v>
      </c>
      <c r="B34" s="18" t="s">
        <v>7</v>
      </c>
      <c r="C34" s="18" t="s">
        <v>6</v>
      </c>
      <c r="D34" s="17">
        <v>5393.1587</v>
      </c>
      <c r="E34" s="21">
        <v>35089.22</v>
      </c>
      <c r="F34" s="17">
        <v>5279.94</v>
      </c>
      <c r="G34" s="89">
        <v>33913.440000000002</v>
      </c>
      <c r="H34" s="14">
        <v>5179.982</v>
      </c>
      <c r="I34" s="13">
        <v>29999.3</v>
      </c>
      <c r="J34" s="14">
        <v>4509.42</v>
      </c>
      <c r="K34" s="13">
        <v>24506.95</v>
      </c>
      <c r="L34" s="14">
        <v>3115.5</v>
      </c>
      <c r="M34" s="13">
        <v>17010.77</v>
      </c>
      <c r="N34" s="12"/>
      <c r="O34" s="20"/>
      <c r="P34" s="14"/>
      <c r="Q34" s="13"/>
      <c r="R34" s="14"/>
      <c r="S34" s="13"/>
      <c r="T34" s="12"/>
      <c r="U34" s="7"/>
      <c r="V34" s="12"/>
      <c r="W34" s="7"/>
      <c r="X34" s="12"/>
      <c r="Y34" s="7"/>
      <c r="Z34" s="12"/>
      <c r="AA34" s="7"/>
    </row>
    <row r="35" spans="1:27" ht="15.75" x14ac:dyDescent="0.25">
      <c r="A35" s="19" t="s">
        <v>5</v>
      </c>
      <c r="B35" s="18" t="s">
        <v>4</v>
      </c>
      <c r="C35" s="18" t="s">
        <v>3</v>
      </c>
      <c r="D35" s="17">
        <v>4095.4825999999998</v>
      </c>
      <c r="E35" s="21">
        <v>26646.2</v>
      </c>
      <c r="F35" s="17">
        <v>3347.46</v>
      </c>
      <c r="G35" s="88">
        <v>21445.9</v>
      </c>
      <c r="H35" s="14"/>
      <c r="I35" s="13"/>
      <c r="J35" s="14">
        <v>6578.08</v>
      </c>
      <c r="K35" s="13">
        <v>40450.92</v>
      </c>
      <c r="L35" s="14"/>
      <c r="M35" s="13"/>
      <c r="N35" s="12"/>
      <c r="O35" s="20"/>
      <c r="P35" s="14"/>
      <c r="Q35" s="13"/>
      <c r="R35" s="14"/>
      <c r="S35" s="13"/>
      <c r="T35" s="12"/>
      <c r="U35" s="7"/>
      <c r="V35" s="12"/>
      <c r="W35" s="7"/>
      <c r="X35" s="12"/>
      <c r="Y35" s="7"/>
      <c r="Z35" s="12"/>
      <c r="AA35" s="7"/>
    </row>
    <row r="36" spans="1:27" ht="15.75" x14ac:dyDescent="0.25">
      <c r="A36" s="19">
        <v>33</v>
      </c>
      <c r="B36" s="18" t="s">
        <v>2</v>
      </c>
      <c r="C36" s="18" t="s">
        <v>1</v>
      </c>
      <c r="D36" s="17">
        <v>2595.3573999999999</v>
      </c>
      <c r="E36" s="21">
        <v>16886.05</v>
      </c>
      <c r="F36" s="17">
        <v>2214.9499999999998</v>
      </c>
      <c r="G36" s="89">
        <v>14199.67</v>
      </c>
      <c r="H36" s="14">
        <v>2650.0284999999999</v>
      </c>
      <c r="I36" s="13">
        <v>15688.33</v>
      </c>
      <c r="J36" s="14">
        <v>2296.5500000000002</v>
      </c>
      <c r="K36" s="13">
        <v>12469.67</v>
      </c>
      <c r="L36" s="14">
        <v>1595.88</v>
      </c>
      <c r="M36" s="13">
        <v>8723.2099999999991</v>
      </c>
      <c r="N36" s="12"/>
      <c r="O36" s="20"/>
      <c r="P36" s="14"/>
      <c r="Q36" s="13"/>
      <c r="R36" s="14"/>
      <c r="S36" s="13"/>
      <c r="T36" s="12"/>
      <c r="U36" s="7"/>
      <c r="V36" s="12"/>
      <c r="W36" s="7"/>
      <c r="X36" s="12"/>
      <c r="Y36" s="7"/>
      <c r="Z36" s="12"/>
      <c r="AA36" s="7"/>
    </row>
    <row r="37" spans="1:27" ht="15.75" x14ac:dyDescent="0.25">
      <c r="A37" s="19">
        <v>34</v>
      </c>
      <c r="B37" s="18"/>
      <c r="C37" s="18" t="s">
        <v>0</v>
      </c>
      <c r="D37" s="17">
        <v>529402.5</v>
      </c>
      <c r="E37" s="16">
        <v>3019851.42</v>
      </c>
      <c r="F37" s="17">
        <v>455117.1</v>
      </c>
      <c r="G37" s="16">
        <v>2075843.53</v>
      </c>
      <c r="H37" s="14">
        <v>495295.3</v>
      </c>
      <c r="I37" s="15">
        <v>2347613.0299999998</v>
      </c>
      <c r="J37" s="14">
        <v>456538.5</v>
      </c>
      <c r="K37" s="13">
        <v>2161730.7999999998</v>
      </c>
      <c r="L37" s="14">
        <v>530492.69999999995</v>
      </c>
      <c r="M37" s="13">
        <v>2380036.62</v>
      </c>
      <c r="N37" s="12"/>
      <c r="O37" s="11"/>
      <c r="P37" s="10"/>
      <c r="Q37" s="9"/>
      <c r="R37" s="10"/>
      <c r="S37" s="9"/>
      <c r="T37" s="12"/>
      <c r="U37" s="7"/>
      <c r="V37" s="12"/>
      <c r="W37" s="7"/>
      <c r="X37" s="12"/>
      <c r="Y37" s="7"/>
      <c r="Z37" s="12"/>
      <c r="AA37" s="7"/>
    </row>
    <row r="38" spans="1:27" x14ac:dyDescent="0.25">
      <c r="A38" s="6"/>
      <c r="B38" s="6"/>
      <c r="C38" s="5" t="s">
        <v>115</v>
      </c>
      <c r="D38" s="1">
        <f>SUM(D4:D37)</f>
        <v>1271130.6548999997</v>
      </c>
      <c r="F38" s="1">
        <f>SUM(F4:F37)</f>
        <v>1093504.7499999995</v>
      </c>
      <c r="H38" s="1">
        <f>SUM(H4:H37)</f>
        <v>1174947.1521999999</v>
      </c>
      <c r="J38" s="1">
        <f>SUM(J4:J37)</f>
        <v>1105532.3300000003</v>
      </c>
      <c r="L38" s="1">
        <f>SUM(L4:L37)</f>
        <v>1049196.9999999998</v>
      </c>
      <c r="N38" s="4">
        <f>SUM(N4:N37)</f>
        <v>0</v>
      </c>
      <c r="P38" s="3">
        <f>SUM(P4:P37)</f>
        <v>0</v>
      </c>
      <c r="Q38" s="3"/>
      <c r="R38" s="3">
        <f>SUM(R4:R37)</f>
        <v>0</v>
      </c>
      <c r="S38" s="3"/>
      <c r="T38" s="3">
        <f>SUM(T4:T37)</f>
        <v>0</v>
      </c>
      <c r="U38" s="3"/>
      <c r="V38" s="3">
        <f>SUM(V4:V37)</f>
        <v>0</v>
      </c>
      <c r="W38" s="3"/>
      <c r="X38" s="3">
        <f>SUM(X4:X37)</f>
        <v>0</v>
      </c>
      <c r="Y38" s="3"/>
      <c r="Z38" s="3">
        <f>SUM(Z4:Z37)</f>
        <v>0</v>
      </c>
      <c r="AA38" s="3"/>
    </row>
    <row r="39" spans="1:27" ht="15.75" x14ac:dyDescent="0.25">
      <c r="C39" s="2" t="s">
        <v>116</v>
      </c>
      <c r="E39" s="1">
        <f>SUM(E4:E37)</f>
        <v>7537653.0499999998</v>
      </c>
      <c r="G39" s="1">
        <f>SUM(G4:G37)</f>
        <v>5969171.1800000006</v>
      </c>
      <c r="I39" s="1">
        <f>SUM(I4:I37)</f>
        <v>6124573.7999999989</v>
      </c>
      <c r="K39" s="1">
        <f>SUM(K4:K37)</f>
        <v>5525378.790000001</v>
      </c>
      <c r="M39" s="1">
        <f>SUM(M4:M37)</f>
        <v>5090830.2999999989</v>
      </c>
      <c r="O39" s="1">
        <f>SUM(O4:O37)</f>
        <v>0</v>
      </c>
      <c r="Q39" s="1">
        <f>SUM(Q4:Q37)</f>
        <v>0</v>
      </c>
      <c r="S39" s="1">
        <f>SUM(S4:S37)</f>
        <v>0</v>
      </c>
      <c r="U39" s="1">
        <f>SUM(U4:U37)</f>
        <v>0</v>
      </c>
      <c r="W39" s="1">
        <f>SUM(W4:W37)</f>
        <v>0</v>
      </c>
      <c r="Y39" s="1">
        <f>SUM(Y4:Y37)</f>
        <v>0</v>
      </c>
      <c r="AA39" s="1">
        <f>SUM(AA4:AA37)</f>
        <v>0</v>
      </c>
    </row>
  </sheetData>
  <mergeCells count="13">
    <mergeCell ref="Z1:AA1"/>
    <mergeCell ref="N1:O1"/>
    <mergeCell ref="P1:Q1"/>
    <mergeCell ref="R1:S1"/>
    <mergeCell ref="T1:U1"/>
    <mergeCell ref="V1:W1"/>
    <mergeCell ref="X1:Y1"/>
    <mergeCell ref="A1:C2"/>
    <mergeCell ref="D1:E1"/>
    <mergeCell ref="F1:G1"/>
    <mergeCell ref="H1:I1"/>
    <mergeCell ref="J1:K1"/>
    <mergeCell ref="L1:M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7"/>
  <sheetViews>
    <sheetView workbookViewId="0">
      <selection activeCell="B3" sqref="B3:B36"/>
    </sheetView>
  </sheetViews>
  <sheetFormatPr defaultRowHeight="15" x14ac:dyDescent="0.25"/>
  <cols>
    <col min="2" max="2" width="38.42578125" bestFit="1" customWidth="1"/>
    <col min="3" max="4" width="12.5703125" bestFit="1" customWidth="1"/>
    <col min="5" max="5" width="1.85546875" customWidth="1"/>
    <col min="6" max="6" width="10.7109375" bestFit="1" customWidth="1"/>
  </cols>
  <sheetData>
    <row r="1" spans="1:6" ht="15.75" thickBot="1" x14ac:dyDescent="0.3">
      <c r="C1" s="81" t="s">
        <v>120</v>
      </c>
      <c r="D1" s="82"/>
      <c r="E1" s="82"/>
      <c r="F1" s="83"/>
    </row>
    <row r="2" spans="1:6" x14ac:dyDescent="0.25">
      <c r="C2" t="s">
        <v>180</v>
      </c>
      <c r="D2" t="s">
        <v>181</v>
      </c>
      <c r="F2" t="s">
        <v>179</v>
      </c>
    </row>
    <row r="3" spans="1:6" x14ac:dyDescent="0.25">
      <c r="A3" s="18" t="s">
        <v>94</v>
      </c>
      <c r="B3" t="s">
        <v>186</v>
      </c>
      <c r="C3" s="16">
        <f>'2024'!AD13</f>
        <v>1591191.75</v>
      </c>
      <c r="D3" s="16">
        <f>'2025'!AB4</f>
        <v>1606606.3499999999</v>
      </c>
      <c r="F3" s="16">
        <f>D3-C3</f>
        <v>15414.59999999986</v>
      </c>
    </row>
    <row r="4" spans="1:6" x14ac:dyDescent="0.25">
      <c r="A4" s="18" t="s">
        <v>91</v>
      </c>
      <c r="B4" t="s">
        <v>187</v>
      </c>
      <c r="C4" s="16">
        <f>'2024'!AD15</f>
        <v>770004.81</v>
      </c>
      <c r="D4" s="16">
        <f>'2025'!AB5</f>
        <v>795115.9800000001</v>
      </c>
      <c r="F4" s="16">
        <f t="shared" ref="F4:F37" si="0">D4-C4</f>
        <v>25111.170000000042</v>
      </c>
    </row>
    <row r="5" spans="1:6" x14ac:dyDescent="0.25">
      <c r="A5" s="18" t="s">
        <v>88</v>
      </c>
      <c r="B5" t="s">
        <v>188</v>
      </c>
      <c r="C5" s="16">
        <f>'2024'!AD11</f>
        <v>696299.7</v>
      </c>
      <c r="D5" s="16">
        <f>'2025'!AB6</f>
        <v>740088.8</v>
      </c>
      <c r="F5" s="16">
        <f t="shared" si="0"/>
        <v>43789.100000000093</v>
      </c>
    </row>
    <row r="6" spans="1:6" x14ac:dyDescent="0.25">
      <c r="A6" s="18" t="s">
        <v>85</v>
      </c>
      <c r="B6" t="s">
        <v>189</v>
      </c>
      <c r="C6" s="16">
        <f>'2024'!AD8</f>
        <v>502658.1</v>
      </c>
      <c r="D6" s="16">
        <f>'2025'!AB7</f>
        <v>484733.97000000009</v>
      </c>
      <c r="F6" s="16">
        <f t="shared" si="0"/>
        <v>-17924.129999999888</v>
      </c>
    </row>
    <row r="7" spans="1:6" x14ac:dyDescent="0.25">
      <c r="A7" s="26" t="s">
        <v>173</v>
      </c>
      <c r="B7" t="s">
        <v>190</v>
      </c>
      <c r="C7" s="16">
        <f>'2024'!AD24</f>
        <v>546278.17500000005</v>
      </c>
      <c r="D7" s="16">
        <f>'2025'!AB8</f>
        <v>615319.56999999995</v>
      </c>
      <c r="F7" s="16">
        <f t="shared" si="0"/>
        <v>69041.394999999902</v>
      </c>
    </row>
    <row r="8" spans="1:6" x14ac:dyDescent="0.25">
      <c r="A8" s="18" t="s">
        <v>79</v>
      </c>
      <c r="B8" t="s">
        <v>191</v>
      </c>
      <c r="C8" s="16">
        <f>'2024'!AD18</f>
        <v>387108.97499999992</v>
      </c>
      <c r="D8" s="16">
        <f>'2025'!AB9</f>
        <v>498499.15</v>
      </c>
      <c r="F8" s="16">
        <f t="shared" si="0"/>
        <v>111390.1750000001</v>
      </c>
    </row>
    <row r="9" spans="1:6" x14ac:dyDescent="0.25">
      <c r="A9" s="18" t="s">
        <v>117</v>
      </c>
      <c r="B9" t="s">
        <v>192</v>
      </c>
      <c r="C9" s="16">
        <f>'2024'!AD3</f>
        <v>715692.06</v>
      </c>
      <c r="D9" s="16">
        <f>'2025'!AB10</f>
        <v>402756.79000000004</v>
      </c>
      <c r="F9" s="16">
        <f t="shared" si="0"/>
        <v>-312935.27</v>
      </c>
    </row>
    <row r="10" spans="1:6" x14ac:dyDescent="0.25">
      <c r="A10" s="18" t="s">
        <v>74</v>
      </c>
      <c r="B10" t="s">
        <v>193</v>
      </c>
      <c r="C10" s="16">
        <f>'2024'!AD7</f>
        <v>320474.29499999998</v>
      </c>
      <c r="D10" s="16">
        <f>'2025'!AB11</f>
        <v>289896.24</v>
      </c>
      <c r="F10" s="16">
        <f t="shared" si="0"/>
        <v>-30578.054999999993</v>
      </c>
    </row>
    <row r="11" spans="1:6" x14ac:dyDescent="0.25">
      <c r="A11" s="18" t="s">
        <v>175</v>
      </c>
      <c r="B11" t="s">
        <v>194</v>
      </c>
      <c r="C11" s="16">
        <f>'2024'!AD14</f>
        <v>296079</v>
      </c>
      <c r="D11" s="16">
        <f>'2025'!AB12</f>
        <v>276384.66000000003</v>
      </c>
      <c r="F11" s="16">
        <f t="shared" si="0"/>
        <v>-19694.339999999967</v>
      </c>
    </row>
    <row r="12" spans="1:6" x14ac:dyDescent="0.25">
      <c r="A12" s="18" t="s">
        <v>176</v>
      </c>
      <c r="B12" t="s">
        <v>195</v>
      </c>
      <c r="C12" s="16">
        <f>'2024'!AD9</f>
        <v>288702.8</v>
      </c>
      <c r="D12" s="16">
        <f>'2025'!AB13</f>
        <v>328852.62</v>
      </c>
      <c r="F12" s="16">
        <f t="shared" si="0"/>
        <v>40149.820000000007</v>
      </c>
    </row>
    <row r="13" spans="1:6" x14ac:dyDescent="0.25">
      <c r="A13" s="18" t="s">
        <v>65</v>
      </c>
      <c r="B13" t="s">
        <v>196</v>
      </c>
      <c r="C13" s="16">
        <f>'2024'!AD12</f>
        <v>215791.28999999998</v>
      </c>
      <c r="D13" s="16">
        <f>'2025'!AB14</f>
        <v>221942.3</v>
      </c>
      <c r="F13" s="16">
        <f t="shared" si="0"/>
        <v>6151.0100000000093</v>
      </c>
    </row>
    <row r="14" spans="1:6" x14ac:dyDescent="0.25">
      <c r="A14" s="26" t="s">
        <v>174</v>
      </c>
      <c r="B14" t="s">
        <v>197</v>
      </c>
      <c r="C14" s="16">
        <f>'2024'!AD31</f>
        <v>187313.5</v>
      </c>
      <c r="D14" s="16">
        <f>'2025'!AB15</f>
        <v>205874.09999999998</v>
      </c>
      <c r="F14" s="16">
        <f t="shared" si="0"/>
        <v>18560.599999999977</v>
      </c>
    </row>
    <row r="15" spans="1:6" x14ac:dyDescent="0.25">
      <c r="A15" s="18" t="s">
        <v>59</v>
      </c>
      <c r="B15" t="s">
        <v>198</v>
      </c>
      <c r="C15" s="16">
        <f>'2024'!AD4</f>
        <v>155904.12</v>
      </c>
      <c r="D15" s="16">
        <f>'2025'!AB16</f>
        <v>183752.52</v>
      </c>
      <c r="F15" s="16">
        <f t="shared" si="0"/>
        <v>27848.399999999994</v>
      </c>
    </row>
    <row r="16" spans="1:6" x14ac:dyDescent="0.25">
      <c r="A16" s="18" t="s">
        <v>56</v>
      </c>
      <c r="B16" t="s">
        <v>199</v>
      </c>
      <c r="C16" s="16">
        <f>'2024'!AD16</f>
        <v>142036.79999999999</v>
      </c>
      <c r="D16" s="16">
        <f>'2025'!AB17</f>
        <v>119853.92</v>
      </c>
      <c r="F16" s="16">
        <f t="shared" si="0"/>
        <v>-22182.87999999999</v>
      </c>
    </row>
    <row r="17" spans="1:6" x14ac:dyDescent="0.25">
      <c r="A17" s="18" t="s">
        <v>53</v>
      </c>
      <c r="B17" t="s">
        <v>200</v>
      </c>
      <c r="C17" s="16">
        <f>'2024'!AD6</f>
        <v>141958.53899999999</v>
      </c>
      <c r="D17" s="16">
        <f>'2025'!AB18</f>
        <v>130763.97</v>
      </c>
      <c r="F17" s="16">
        <f t="shared" si="0"/>
        <v>-11194.568999999989</v>
      </c>
    </row>
    <row r="18" spans="1:6" x14ac:dyDescent="0.25">
      <c r="A18" s="18" t="s">
        <v>50</v>
      </c>
      <c r="B18" t="s">
        <v>201</v>
      </c>
      <c r="C18" s="16">
        <f>'2024'!AD32</f>
        <v>77038</v>
      </c>
      <c r="D18" s="16">
        <f>'2025'!AB19</f>
        <v>76815.12000000001</v>
      </c>
      <c r="F18" s="16">
        <f t="shared" si="0"/>
        <v>-222.8799999999901</v>
      </c>
    </row>
    <row r="19" spans="1:6" x14ac:dyDescent="0.25">
      <c r="A19" s="18" t="s">
        <v>47</v>
      </c>
      <c r="B19" t="s">
        <v>202</v>
      </c>
      <c r="C19" s="16">
        <f>'2024'!AD17</f>
        <v>131562.29999999999</v>
      </c>
      <c r="D19" s="16">
        <f>'2025'!AB20</f>
        <v>230901.58999999997</v>
      </c>
      <c r="F19" s="16">
        <f t="shared" si="0"/>
        <v>99339.289999999979</v>
      </c>
    </row>
    <row r="20" spans="1:6" x14ac:dyDescent="0.25">
      <c r="A20" s="18" t="s">
        <v>44</v>
      </c>
      <c r="B20" t="s">
        <v>203</v>
      </c>
      <c r="C20" s="16">
        <f>'2024'!AD33</f>
        <v>412701.42</v>
      </c>
      <c r="D20" s="16">
        <f>'2025'!AB21</f>
        <v>489052.74</v>
      </c>
      <c r="F20" s="16">
        <f t="shared" si="0"/>
        <v>76351.320000000007</v>
      </c>
    </row>
    <row r="21" spans="1:6" x14ac:dyDescent="0.25">
      <c r="A21" s="18" t="s">
        <v>41</v>
      </c>
      <c r="B21" t="s">
        <v>204</v>
      </c>
      <c r="C21" s="16">
        <f>'2024'!AD26</f>
        <v>58462.375</v>
      </c>
      <c r="D21" s="16">
        <f>'2025'!AB22</f>
        <v>51603.040000000001</v>
      </c>
      <c r="F21" s="16">
        <f t="shared" si="0"/>
        <v>-6859.3349999999991</v>
      </c>
    </row>
    <row r="22" spans="1:6" x14ac:dyDescent="0.25">
      <c r="A22" s="18" t="s">
        <v>38</v>
      </c>
      <c r="B22" t="s">
        <v>205</v>
      </c>
      <c r="C22" s="16">
        <f>'2024'!AD25</f>
        <v>46761.84</v>
      </c>
      <c r="D22" s="16">
        <f>'2025'!AB23</f>
        <v>52747.519999999997</v>
      </c>
      <c r="F22" s="16">
        <f t="shared" si="0"/>
        <v>5985.68</v>
      </c>
    </row>
    <row r="23" spans="1:6" x14ac:dyDescent="0.25">
      <c r="A23" s="18" t="s">
        <v>35</v>
      </c>
      <c r="B23" t="s">
        <v>206</v>
      </c>
      <c r="C23" s="16">
        <f>'2024'!AD19</f>
        <v>62692.399999999994</v>
      </c>
      <c r="D23" s="16">
        <f>'2025'!AB24</f>
        <v>54584.01</v>
      </c>
      <c r="F23" s="16">
        <f t="shared" si="0"/>
        <v>-8108.3899999999921</v>
      </c>
    </row>
    <row r="24" spans="1:6" x14ac:dyDescent="0.25">
      <c r="A24" s="18" t="s">
        <v>32</v>
      </c>
      <c r="B24" t="s">
        <v>207</v>
      </c>
      <c r="C24" s="16">
        <f>'2024'!AD10</f>
        <v>44800.08</v>
      </c>
      <c r="D24" s="16">
        <f>'2025'!AB25</f>
        <v>69183.839999999997</v>
      </c>
      <c r="F24" s="16">
        <f t="shared" si="0"/>
        <v>24383.759999999995</v>
      </c>
    </row>
    <row r="25" spans="1:6" x14ac:dyDescent="0.25">
      <c r="A25" s="18" t="s">
        <v>29</v>
      </c>
      <c r="B25" t="s">
        <v>208</v>
      </c>
      <c r="C25" s="16">
        <f>'2024'!AD29</f>
        <v>30249.5</v>
      </c>
      <c r="D25" s="16">
        <f>'2025'!AB26</f>
        <v>41644.5</v>
      </c>
      <c r="F25" s="16">
        <f t="shared" si="0"/>
        <v>11395</v>
      </c>
    </row>
    <row r="26" spans="1:6" x14ac:dyDescent="0.25">
      <c r="A26" s="18" t="s">
        <v>26</v>
      </c>
      <c r="B26" t="s">
        <v>209</v>
      </c>
      <c r="C26" s="16">
        <f>'2024'!AD35</f>
        <v>218929.40999999997</v>
      </c>
      <c r="D26" s="16">
        <f>'2025'!AB27</f>
        <v>205430.94</v>
      </c>
      <c r="F26" s="16">
        <f t="shared" si="0"/>
        <v>-13498.469999999972</v>
      </c>
    </row>
    <row r="27" spans="1:6" x14ac:dyDescent="0.25">
      <c r="A27" s="18" t="s">
        <v>23</v>
      </c>
      <c r="B27" t="s">
        <v>210</v>
      </c>
      <c r="C27" s="16">
        <f>'2024'!AD23</f>
        <v>3115.33</v>
      </c>
      <c r="D27" s="16">
        <f>'2025'!AB28</f>
        <v>4053.29</v>
      </c>
      <c r="F27" s="16">
        <f t="shared" si="0"/>
        <v>937.96</v>
      </c>
    </row>
    <row r="28" spans="1:6" x14ac:dyDescent="0.25">
      <c r="A28" s="18" t="s">
        <v>20</v>
      </c>
      <c r="B28" t="s">
        <v>211</v>
      </c>
      <c r="C28" s="16">
        <f>'2024'!AD22</f>
        <v>43694.899000000005</v>
      </c>
      <c r="D28" s="16">
        <f>'2025'!AB29</f>
        <v>49466.04</v>
      </c>
      <c r="F28" s="16">
        <f t="shared" si="0"/>
        <v>5771.140999999996</v>
      </c>
    </row>
    <row r="29" spans="1:6" x14ac:dyDescent="0.25">
      <c r="A29" s="18" t="s">
        <v>177</v>
      </c>
      <c r="B29" t="s">
        <v>212</v>
      </c>
      <c r="C29" s="16">
        <f>'2024'!AD28</f>
        <v>48594.6</v>
      </c>
      <c r="D29" s="16">
        <f>'2025'!AB30</f>
        <v>48588.65</v>
      </c>
      <c r="F29" s="16">
        <f t="shared" si="0"/>
        <v>-5.9499999999970896</v>
      </c>
    </row>
    <row r="30" spans="1:6" x14ac:dyDescent="0.25">
      <c r="A30" s="18" t="s">
        <v>14</v>
      </c>
      <c r="B30" t="s">
        <v>213</v>
      </c>
      <c r="C30" s="16">
        <f>'2024'!AD27</f>
        <v>45002.7</v>
      </c>
      <c r="D30" s="16">
        <f>'2025'!AB31</f>
        <v>42251.7</v>
      </c>
      <c r="F30" s="16">
        <f t="shared" si="0"/>
        <v>-2751</v>
      </c>
    </row>
    <row r="31" spans="1:6" x14ac:dyDescent="0.25">
      <c r="A31" s="18" t="s">
        <v>11</v>
      </c>
      <c r="B31" t="s">
        <v>214</v>
      </c>
      <c r="C31" s="16">
        <f>'2024'!AD5</f>
        <v>43331.012999999999</v>
      </c>
      <c r="D31" s="16">
        <f>'2025'!AB32</f>
        <v>44359.38</v>
      </c>
      <c r="F31" s="16">
        <f t="shared" si="0"/>
        <v>1028.3669999999984</v>
      </c>
    </row>
    <row r="32" spans="1:6" x14ac:dyDescent="0.25">
      <c r="A32" s="18" t="s">
        <v>8</v>
      </c>
      <c r="B32" t="s">
        <v>215</v>
      </c>
      <c r="C32" s="16">
        <f>'2024'!AD30</f>
        <v>41851.759999999995</v>
      </c>
      <c r="D32" s="16">
        <f>'2025'!AB33</f>
        <v>44078.520000000004</v>
      </c>
      <c r="F32" s="16">
        <f t="shared" si="0"/>
        <v>2226.7600000000093</v>
      </c>
    </row>
    <row r="33" spans="1:6" x14ac:dyDescent="0.25">
      <c r="A33" s="18" t="s">
        <v>6</v>
      </c>
      <c r="B33" t="s">
        <v>216</v>
      </c>
      <c r="C33" s="16">
        <f>'2024'!AD21</f>
        <v>43918.619999999995</v>
      </c>
      <c r="D33" s="16">
        <f>'2025'!AB34</f>
        <v>45206.28</v>
      </c>
      <c r="F33" s="16">
        <f t="shared" si="0"/>
        <v>1287.6600000000035</v>
      </c>
    </row>
    <row r="34" spans="1:6" x14ac:dyDescent="0.25">
      <c r="A34" s="18" t="s">
        <v>3</v>
      </c>
      <c r="B34" t="s">
        <v>217</v>
      </c>
      <c r="C34" s="16">
        <f>'2024'!AD34</f>
        <v>30686.620000000003</v>
      </c>
      <c r="D34" s="16">
        <f>'2025'!AB35</f>
        <v>39517.449999999997</v>
      </c>
      <c r="F34" s="16">
        <f t="shared" si="0"/>
        <v>8830.8299999999945</v>
      </c>
    </row>
    <row r="35" spans="1:6" x14ac:dyDescent="0.25">
      <c r="A35" s="18" t="s">
        <v>1</v>
      </c>
      <c r="B35" t="s">
        <v>218</v>
      </c>
      <c r="C35" s="16">
        <f>'2024'!AD20</f>
        <v>25968.135999999999</v>
      </c>
      <c r="D35" s="16">
        <f>'2025'!AB36</f>
        <v>28824.109999999997</v>
      </c>
      <c r="F35" s="16">
        <f t="shared" si="0"/>
        <v>2855.9739999999983</v>
      </c>
    </row>
    <row r="36" spans="1:6" x14ac:dyDescent="0.25">
      <c r="A36" s="18" t="s">
        <v>0</v>
      </c>
      <c r="B36" t="s">
        <v>219</v>
      </c>
      <c r="C36" s="16">
        <f>'2024'!AD36</f>
        <v>6570028.1999999993</v>
      </c>
      <c r="D36" s="16">
        <f>'2025'!AB37</f>
        <v>6990946.4989999998</v>
      </c>
      <c r="F36" s="16">
        <f t="shared" si="0"/>
        <v>420918.29900000058</v>
      </c>
    </row>
    <row r="37" spans="1:6" x14ac:dyDescent="0.25">
      <c r="B37" s="5" t="s">
        <v>220</v>
      </c>
      <c r="C37" s="16">
        <f>'2024'!AD37</f>
        <v>14936883.117000001</v>
      </c>
      <c r="D37" s="16">
        <f>'2025'!AB38</f>
        <v>15303827.561797727</v>
      </c>
      <c r="F37" s="16">
        <f t="shared" si="0"/>
        <v>366944.44479772635</v>
      </c>
    </row>
  </sheetData>
  <mergeCells count="1">
    <mergeCell ref="C1:F1"/>
  </mergeCells>
  <conditionalFormatting sqref="C3:C37">
    <cfRule type="expression" dxfId="5" priority="5">
      <formula>C3&gt;D3</formula>
    </cfRule>
    <cfRule type="expression" dxfId="4" priority="6" stopIfTrue="1">
      <formula>C3&lt;D3</formula>
    </cfRule>
  </conditionalFormatting>
  <conditionalFormatting sqref="D3:D37">
    <cfRule type="expression" dxfId="3" priority="3">
      <formula>D3&lt;C3</formula>
    </cfRule>
    <cfRule type="expression" dxfId="2" priority="4">
      <formula>D3&gt;C3</formula>
    </cfRule>
  </conditionalFormatting>
  <conditionalFormatting sqref="F3:F37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yfa1"/>
  <dimension ref="A1:AK76"/>
  <sheetViews>
    <sheetView zoomScale="85" zoomScaleNormal="85" workbookViewId="0">
      <pane xSplit="3" topLeftCell="D1" activePane="topRight" state="frozen"/>
      <selection pane="topRight" activeCell="C8" sqref="C8"/>
    </sheetView>
  </sheetViews>
  <sheetFormatPr defaultRowHeight="15" x14ac:dyDescent="0.25"/>
  <cols>
    <col min="2" max="2" width="16" customWidth="1"/>
    <col min="3" max="3" width="36.140625" customWidth="1"/>
    <col min="4" max="5" width="14.28515625" customWidth="1"/>
    <col min="6" max="7" width="14.5703125" customWidth="1"/>
    <col min="8" max="9" width="14.85546875" customWidth="1"/>
    <col min="10" max="11" width="18.28515625" customWidth="1"/>
    <col min="12" max="13" width="14.42578125" customWidth="1"/>
    <col min="14" max="15" width="14" customWidth="1"/>
    <col min="16" max="17" width="17.42578125" customWidth="1"/>
    <col min="18" max="19" width="14.140625" customWidth="1"/>
    <col min="20" max="20" width="13.28515625" customWidth="1"/>
    <col min="21" max="21" width="15.5703125" customWidth="1"/>
    <col min="22" max="23" width="14.5703125" customWidth="1"/>
    <col min="24" max="25" width="13.85546875" customWidth="1"/>
    <col min="26" max="26" width="13.5703125" customWidth="1"/>
    <col min="27" max="27" width="14.28515625" customWidth="1"/>
    <col min="28" max="28" width="17.5703125" customWidth="1"/>
    <col min="29" max="29" width="13.5703125" bestFit="1" customWidth="1"/>
    <col min="30" max="30" width="10.85546875" bestFit="1" customWidth="1"/>
    <col min="34" max="34" width="20.7109375" bestFit="1" customWidth="1"/>
    <col min="35" max="35" width="12.7109375" bestFit="1" customWidth="1"/>
    <col min="36" max="36" width="13.85546875" bestFit="1" customWidth="1"/>
    <col min="37" max="37" width="26.140625" bestFit="1" customWidth="1"/>
  </cols>
  <sheetData>
    <row r="1" spans="1:32" x14ac:dyDescent="0.25">
      <c r="A1" s="85" t="s">
        <v>185</v>
      </c>
      <c r="B1" s="85"/>
      <c r="C1" s="85"/>
      <c r="D1" s="84">
        <v>1</v>
      </c>
      <c r="E1" s="84"/>
      <c r="F1" s="84">
        <v>2</v>
      </c>
      <c r="G1" s="84"/>
      <c r="H1" s="84">
        <v>3</v>
      </c>
      <c r="I1" s="84"/>
      <c r="J1" s="84">
        <v>4</v>
      </c>
      <c r="K1" s="84"/>
      <c r="L1" s="84">
        <v>5</v>
      </c>
      <c r="M1" s="84"/>
      <c r="N1" s="84">
        <v>6</v>
      </c>
      <c r="O1" s="84"/>
      <c r="P1" s="84">
        <v>7</v>
      </c>
      <c r="Q1" s="84"/>
      <c r="R1" s="84">
        <v>8</v>
      </c>
      <c r="S1" s="84"/>
      <c r="T1" s="84">
        <v>9</v>
      </c>
      <c r="U1" s="84"/>
      <c r="V1" s="84">
        <v>10</v>
      </c>
      <c r="W1" s="84"/>
      <c r="X1" s="84">
        <v>11</v>
      </c>
      <c r="Y1" s="84"/>
      <c r="Z1" s="84">
        <v>12</v>
      </c>
      <c r="AA1" s="84"/>
    </row>
    <row r="2" spans="1:32" ht="18.75" customHeight="1" x14ac:dyDescent="0.25">
      <c r="A2" s="86"/>
      <c r="B2" s="86"/>
      <c r="C2" s="86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84" t="s">
        <v>97</v>
      </c>
      <c r="AC2" s="84"/>
      <c r="AD2" t="s">
        <v>121</v>
      </c>
    </row>
    <row r="3" spans="1:32" ht="18.75" x14ac:dyDescent="0.25">
      <c r="A3" s="31" t="s">
        <v>100</v>
      </c>
      <c r="B3" s="31"/>
      <c r="C3" s="30" t="s">
        <v>98</v>
      </c>
      <c r="D3" s="33" t="s">
        <v>114</v>
      </c>
      <c r="E3" s="32" t="s">
        <v>101</v>
      </c>
      <c r="F3" s="33" t="s">
        <v>114</v>
      </c>
      <c r="G3" s="32" t="s">
        <v>101</v>
      </c>
      <c r="H3" s="33" t="s">
        <v>114</v>
      </c>
      <c r="I3" s="32" t="s">
        <v>101</v>
      </c>
      <c r="J3" s="33" t="s">
        <v>114</v>
      </c>
      <c r="K3" s="32" t="s">
        <v>101</v>
      </c>
      <c r="L3" s="33" t="s">
        <v>114</v>
      </c>
      <c r="M3" s="32" t="s">
        <v>101</v>
      </c>
      <c r="N3" s="33" t="s">
        <v>114</v>
      </c>
      <c r="O3" s="32" t="s">
        <v>101</v>
      </c>
      <c r="P3" s="33" t="s">
        <v>114</v>
      </c>
      <c r="Q3" s="32" t="s">
        <v>101</v>
      </c>
      <c r="R3" s="33" t="s">
        <v>114</v>
      </c>
      <c r="S3" s="32" t="s">
        <v>101</v>
      </c>
      <c r="T3" s="33" t="s">
        <v>114</v>
      </c>
      <c r="U3" s="32" t="s">
        <v>101</v>
      </c>
      <c r="V3" s="33" t="s">
        <v>114</v>
      </c>
      <c r="W3" s="32" t="s">
        <v>101</v>
      </c>
      <c r="X3" s="33" t="s">
        <v>114</v>
      </c>
      <c r="Y3" s="32" t="s">
        <v>101</v>
      </c>
      <c r="Z3" s="33" t="s">
        <v>114</v>
      </c>
      <c r="AA3" s="32" t="s">
        <v>101</v>
      </c>
      <c r="AB3" s="33" t="s">
        <v>114</v>
      </c>
      <c r="AC3" s="32" t="s">
        <v>101</v>
      </c>
      <c r="AD3" s="37" t="s">
        <v>122</v>
      </c>
    </row>
    <row r="4" spans="1:32" ht="15.75" x14ac:dyDescent="0.25">
      <c r="A4" s="19" t="s">
        <v>96</v>
      </c>
      <c r="B4" t="s">
        <v>186</v>
      </c>
      <c r="C4" s="18" t="s">
        <v>94</v>
      </c>
      <c r="D4" s="17">
        <v>111797.25</v>
      </c>
      <c r="E4" s="21">
        <v>578349.52</v>
      </c>
      <c r="F4" s="17">
        <v>114139.8</v>
      </c>
      <c r="G4" s="21">
        <v>564703.54</v>
      </c>
      <c r="H4" s="14">
        <v>108254.1</v>
      </c>
      <c r="I4" s="13">
        <v>545790.56000000006</v>
      </c>
      <c r="J4" s="14">
        <v>96703.5</v>
      </c>
      <c r="K4" s="13">
        <v>480141.63</v>
      </c>
      <c r="L4" s="14">
        <v>109409.85</v>
      </c>
      <c r="M4" s="13">
        <v>618578.38</v>
      </c>
      <c r="N4" s="12">
        <v>150978.9</v>
      </c>
      <c r="O4" s="7">
        <v>870658.89</v>
      </c>
      <c r="P4" s="14">
        <v>211971.45</v>
      </c>
      <c r="Q4" s="13">
        <v>1194082.99</v>
      </c>
      <c r="R4" s="14">
        <v>196391.25</v>
      </c>
      <c r="S4" s="13">
        <v>1264790.8500000001</v>
      </c>
      <c r="T4" s="12">
        <v>157102.65</v>
      </c>
      <c r="U4" s="7">
        <v>1041538.73</v>
      </c>
      <c r="V4" s="12">
        <v>108274.8</v>
      </c>
      <c r="W4" s="7">
        <v>721879.63</v>
      </c>
      <c r="X4" s="12">
        <v>108526.65</v>
      </c>
      <c r="Y4" s="7">
        <v>673863.78</v>
      </c>
      <c r="Z4" s="12">
        <v>133056.15</v>
      </c>
      <c r="AA4" s="7">
        <v>802162.52</v>
      </c>
      <c r="AB4" s="12">
        <f>D4+F4+H4+J4+L4+N4+P4+R4+V4+T4+X4+Z4</f>
        <v>1606606.3499999999</v>
      </c>
      <c r="AC4" s="12">
        <f>E4+G4+I4+K4+M4+O4+Q4+S4+W4+U4+Y4+AA4</f>
        <v>9356541.0199999977</v>
      </c>
      <c r="AD4">
        <f>AC4/AB4</f>
        <v>5.8237918828093758</v>
      </c>
    </row>
    <row r="5" spans="1:32" ht="15.75" x14ac:dyDescent="0.25">
      <c r="A5" s="19" t="s">
        <v>93</v>
      </c>
      <c r="B5" t="s">
        <v>187</v>
      </c>
      <c r="C5" s="18" t="s">
        <v>91</v>
      </c>
      <c r="D5" s="17">
        <v>45231.57</v>
      </c>
      <c r="E5" s="21">
        <v>233991.97</v>
      </c>
      <c r="F5" s="17">
        <v>44531.91</v>
      </c>
      <c r="G5" s="21">
        <v>233171.24</v>
      </c>
      <c r="H5" s="14">
        <v>42147.27</v>
      </c>
      <c r="I5" s="13">
        <v>218107.7</v>
      </c>
      <c r="J5" s="14">
        <v>42107.94</v>
      </c>
      <c r="K5" s="13">
        <v>214969.87</v>
      </c>
      <c r="L5" s="14">
        <v>48914.1</v>
      </c>
      <c r="M5" s="13">
        <v>280990.73</v>
      </c>
      <c r="N5" s="28">
        <v>94352.67</v>
      </c>
      <c r="O5" s="27">
        <v>528169.53</v>
      </c>
      <c r="P5" s="14">
        <v>124235.19</v>
      </c>
      <c r="Q5" s="13">
        <v>703632.74</v>
      </c>
      <c r="R5" s="14">
        <v>119060.19</v>
      </c>
      <c r="S5" s="13">
        <v>761753.86</v>
      </c>
      <c r="T5" s="12">
        <v>105085.62</v>
      </c>
      <c r="U5" s="7">
        <v>682345.87</v>
      </c>
      <c r="V5" s="12">
        <v>43426.53</v>
      </c>
      <c r="W5" s="7">
        <v>332849.98</v>
      </c>
      <c r="X5" s="12">
        <v>40068.99</v>
      </c>
      <c r="Y5" s="7">
        <v>252379.47</v>
      </c>
      <c r="Z5" s="12">
        <v>45954</v>
      </c>
      <c r="AA5" s="7">
        <v>279758.64</v>
      </c>
      <c r="AB5" s="12">
        <f t="shared" ref="AB5:AB37" si="0">D5+F5+H5+J5+L5+N5+P5+R5+V5+T5+X5+Z5</f>
        <v>795115.9800000001</v>
      </c>
      <c r="AC5" s="12">
        <f t="shared" ref="AC5:AC37" si="1">E5+G5+I5+K5+M5+O5+Q5+S5+W5+U5+Y5+AA5</f>
        <v>4722121.5999999996</v>
      </c>
      <c r="AD5">
        <f t="shared" ref="AD5:AD37" si="2">AC5/AB5</f>
        <v>5.9389091890720129</v>
      </c>
    </row>
    <row r="6" spans="1:32" ht="15.75" x14ac:dyDescent="0.25">
      <c r="A6" s="19" t="s">
        <v>90</v>
      </c>
      <c r="B6" t="s">
        <v>188</v>
      </c>
      <c r="C6" s="18" t="s">
        <v>88</v>
      </c>
      <c r="D6" s="17">
        <v>45845.32</v>
      </c>
      <c r="E6" s="21">
        <v>237167.03</v>
      </c>
      <c r="F6" s="17">
        <v>46519.8</v>
      </c>
      <c r="G6" s="21">
        <v>243492.99</v>
      </c>
      <c r="H6" s="14">
        <v>34198.120000000003</v>
      </c>
      <c r="I6" s="13">
        <v>176988.38</v>
      </c>
      <c r="J6" s="14">
        <v>35617.800000000003</v>
      </c>
      <c r="K6" s="13">
        <v>181935.03</v>
      </c>
      <c r="L6" s="14">
        <v>57242.400000000001</v>
      </c>
      <c r="M6" s="13">
        <v>319766.99</v>
      </c>
      <c r="N6" s="12">
        <v>81097.42</v>
      </c>
      <c r="O6" s="7">
        <v>466419.01</v>
      </c>
      <c r="P6" s="14">
        <v>107013.82</v>
      </c>
      <c r="Q6" s="13">
        <v>605982.06000000006</v>
      </c>
      <c r="R6" s="14">
        <v>104816.18</v>
      </c>
      <c r="S6" s="13">
        <v>667851.69000000006</v>
      </c>
      <c r="T6" s="12">
        <v>76329.52</v>
      </c>
      <c r="U6" s="7">
        <v>516989.14</v>
      </c>
      <c r="V6" s="12">
        <v>43708.05</v>
      </c>
      <c r="W6" s="7">
        <v>304699.14</v>
      </c>
      <c r="X6" s="12">
        <v>44473.95</v>
      </c>
      <c r="Y6" s="7">
        <v>275459.53999999998</v>
      </c>
      <c r="Z6" s="12">
        <v>63226.42</v>
      </c>
      <c r="AA6" s="7">
        <v>373732.82</v>
      </c>
      <c r="AB6" s="12">
        <f t="shared" si="0"/>
        <v>740088.8</v>
      </c>
      <c r="AC6" s="12">
        <f t="shared" si="1"/>
        <v>4370483.82</v>
      </c>
      <c r="AD6">
        <f t="shared" si="2"/>
        <v>5.9053505741473185</v>
      </c>
    </row>
    <row r="7" spans="1:32" ht="15.75" x14ac:dyDescent="0.25">
      <c r="A7" s="19" t="s">
        <v>87</v>
      </c>
      <c r="B7" t="s">
        <v>189</v>
      </c>
      <c r="C7" s="18" t="s">
        <v>85</v>
      </c>
      <c r="D7" s="17">
        <v>45175.68</v>
      </c>
      <c r="E7" s="21">
        <v>233702.83</v>
      </c>
      <c r="F7" s="17">
        <v>43809.48</v>
      </c>
      <c r="G7" s="21">
        <v>229430.5</v>
      </c>
      <c r="H7" s="14">
        <v>38843.550000000003</v>
      </c>
      <c r="I7" s="13">
        <v>201015.73</v>
      </c>
      <c r="J7" s="14">
        <v>35868.959999999999</v>
      </c>
      <c r="K7" s="13">
        <v>182918.79</v>
      </c>
      <c r="L7" s="14">
        <v>32391.360000000001</v>
      </c>
      <c r="M7" s="13">
        <v>191374.28</v>
      </c>
      <c r="N7" s="12">
        <v>27272.25</v>
      </c>
      <c r="O7" s="7">
        <v>167615.74</v>
      </c>
      <c r="P7" s="14">
        <v>32710.14</v>
      </c>
      <c r="Q7" s="13">
        <v>186830.35</v>
      </c>
      <c r="R7" s="14">
        <v>56301.93</v>
      </c>
      <c r="S7" s="13">
        <v>329657.46999999997</v>
      </c>
      <c r="T7" s="12">
        <v>45755.28</v>
      </c>
      <c r="U7" s="7">
        <v>302298.56</v>
      </c>
      <c r="V7" s="12">
        <v>39938.58</v>
      </c>
      <c r="W7" s="7">
        <v>253719.76</v>
      </c>
      <c r="X7" s="12">
        <v>39895.11</v>
      </c>
      <c r="Y7" s="7">
        <v>247858.02</v>
      </c>
      <c r="Z7" s="12">
        <v>46771.65</v>
      </c>
      <c r="AA7" s="7">
        <v>283806.12</v>
      </c>
      <c r="AB7" s="12">
        <f t="shared" si="0"/>
        <v>484733.97000000009</v>
      </c>
      <c r="AC7" s="12">
        <f t="shared" si="1"/>
        <v>2810228.1500000004</v>
      </c>
      <c r="AD7">
        <f t="shared" si="2"/>
        <v>5.7974648444795394</v>
      </c>
    </row>
    <row r="8" spans="1:32" ht="15.75" x14ac:dyDescent="0.25">
      <c r="A8" s="19" t="s">
        <v>84</v>
      </c>
      <c r="B8" t="s">
        <v>190</v>
      </c>
      <c r="C8" s="26" t="s">
        <v>82</v>
      </c>
      <c r="D8" s="17">
        <v>46745.78</v>
      </c>
      <c r="E8" s="21">
        <v>241825.25</v>
      </c>
      <c r="F8" s="17">
        <v>62446.720000000001</v>
      </c>
      <c r="G8" s="21">
        <v>325941.84999999998</v>
      </c>
      <c r="H8" s="14">
        <v>46376.62</v>
      </c>
      <c r="I8" s="25">
        <v>144009.44</v>
      </c>
      <c r="J8" s="14">
        <v>38070.75</v>
      </c>
      <c r="K8" s="25">
        <v>193797.4</v>
      </c>
      <c r="L8" s="14">
        <v>34072.199999999997</v>
      </c>
      <c r="M8" s="25">
        <v>201530.99</v>
      </c>
      <c r="N8" s="12">
        <v>46704.38</v>
      </c>
      <c r="O8" s="23">
        <v>269518.75</v>
      </c>
      <c r="P8" s="14">
        <v>81006</v>
      </c>
      <c r="Q8" s="25">
        <v>449225.04</v>
      </c>
      <c r="R8" s="14">
        <v>76803.899999999994</v>
      </c>
      <c r="S8" s="25">
        <v>492409.65</v>
      </c>
      <c r="T8" s="12">
        <v>52381.35</v>
      </c>
      <c r="U8" s="7">
        <v>360463.35999999999</v>
      </c>
      <c r="V8" s="12">
        <v>35219.32</v>
      </c>
      <c r="W8" s="7">
        <v>236128.29</v>
      </c>
      <c r="X8" s="12">
        <v>33854.85</v>
      </c>
      <c r="Y8" s="7">
        <v>211710.03</v>
      </c>
      <c r="Z8" s="12">
        <v>61637.7</v>
      </c>
      <c r="AA8" s="7">
        <v>354375.39</v>
      </c>
      <c r="AB8" s="12">
        <f t="shared" si="0"/>
        <v>615319.56999999995</v>
      </c>
      <c r="AC8" s="12">
        <f t="shared" si="1"/>
        <v>3480935.44</v>
      </c>
      <c r="AD8">
        <f t="shared" si="2"/>
        <v>5.6571180403054635</v>
      </c>
    </row>
    <row r="9" spans="1:32" ht="15.75" x14ac:dyDescent="0.25">
      <c r="A9" s="19" t="s">
        <v>81</v>
      </c>
      <c r="B9" t="s">
        <v>191</v>
      </c>
      <c r="C9" s="18" t="s">
        <v>79</v>
      </c>
      <c r="D9" s="17">
        <v>31474.35</v>
      </c>
      <c r="E9" s="21">
        <v>162823.12</v>
      </c>
      <c r="F9" s="17">
        <v>28747.17</v>
      </c>
      <c r="G9" s="21">
        <v>150662.14000000001</v>
      </c>
      <c r="H9" s="14">
        <v>25028.02</v>
      </c>
      <c r="I9" s="13">
        <v>129521.09</v>
      </c>
      <c r="J9" s="14">
        <v>21460.720000000001</v>
      </c>
      <c r="K9" s="13">
        <v>109320.53</v>
      </c>
      <c r="L9" s="14">
        <v>21545.25</v>
      </c>
      <c r="M9" s="13">
        <v>125702.01</v>
      </c>
      <c r="N9" s="12">
        <v>40285.65</v>
      </c>
      <c r="O9" s="7">
        <v>226052.91</v>
      </c>
      <c r="P9" s="14">
        <v>89232.52</v>
      </c>
      <c r="Q9" s="13">
        <v>487636.88</v>
      </c>
      <c r="R9" s="14">
        <v>96913.95</v>
      </c>
      <c r="S9" s="13">
        <v>606099.56000000006</v>
      </c>
      <c r="T9" s="12">
        <v>64170</v>
      </c>
      <c r="U9" s="7">
        <v>444878.62</v>
      </c>
      <c r="V9" s="12">
        <v>22642.35</v>
      </c>
      <c r="W9" s="7">
        <v>183202.66</v>
      </c>
      <c r="X9" s="12">
        <v>25429.95</v>
      </c>
      <c r="Y9" s="7">
        <v>155066.28</v>
      </c>
      <c r="Z9" s="12">
        <v>31569.22</v>
      </c>
      <c r="AA9" s="7">
        <v>189988.06</v>
      </c>
      <c r="AB9" s="12">
        <f t="shared" si="0"/>
        <v>498499.15</v>
      </c>
      <c r="AC9" s="12">
        <f t="shared" si="1"/>
        <v>2970953.8600000003</v>
      </c>
      <c r="AD9">
        <f t="shared" si="2"/>
        <v>5.9597972433854709</v>
      </c>
    </row>
    <row r="10" spans="1:32" ht="15.75" x14ac:dyDescent="0.25">
      <c r="A10" s="19" t="s">
        <v>78</v>
      </c>
      <c r="B10" t="s">
        <v>192</v>
      </c>
      <c r="C10" s="18" t="s">
        <v>117</v>
      </c>
      <c r="D10" s="17">
        <v>64673.01</v>
      </c>
      <c r="E10" s="21">
        <v>334566.42</v>
      </c>
      <c r="F10" s="17">
        <v>54100.480000000003</v>
      </c>
      <c r="G10" s="21">
        <v>283874.34999999998</v>
      </c>
      <c r="H10" s="14">
        <v>33536.07</v>
      </c>
      <c r="I10" s="13">
        <v>173575.57</v>
      </c>
      <c r="J10" s="14">
        <v>33780.33</v>
      </c>
      <c r="K10" s="13">
        <v>172474.4</v>
      </c>
      <c r="L10" s="14">
        <v>34080.480000000003</v>
      </c>
      <c r="M10" s="13">
        <v>198726.16</v>
      </c>
      <c r="N10" s="12">
        <v>19672.240000000002</v>
      </c>
      <c r="O10" s="7">
        <v>129682.9</v>
      </c>
      <c r="P10" s="14">
        <v>19372.099999999999</v>
      </c>
      <c r="Q10" s="13">
        <v>112921.37</v>
      </c>
      <c r="R10" s="14">
        <v>19852.34</v>
      </c>
      <c r="S10" s="13">
        <v>125439.75</v>
      </c>
      <c r="T10" s="12">
        <v>19423.84</v>
      </c>
      <c r="U10" s="22">
        <v>123613.38</v>
      </c>
      <c r="V10" s="12">
        <v>33672.69</v>
      </c>
      <c r="W10" s="22">
        <v>194194.28</v>
      </c>
      <c r="X10" s="12">
        <v>31337.73</v>
      </c>
      <c r="Y10" s="22">
        <v>197082.43</v>
      </c>
      <c r="Z10" s="12">
        <v>39255.480000000003</v>
      </c>
      <c r="AA10" s="22">
        <v>235947.41</v>
      </c>
      <c r="AB10" s="12">
        <f t="shared" si="0"/>
        <v>402756.79000000004</v>
      </c>
      <c r="AC10" s="12">
        <f t="shared" si="1"/>
        <v>2282098.42</v>
      </c>
      <c r="AD10">
        <f t="shared" si="2"/>
        <v>5.6661947772500616</v>
      </c>
    </row>
    <row r="11" spans="1:32" ht="15.75" x14ac:dyDescent="0.25">
      <c r="A11" s="19" t="s">
        <v>76</v>
      </c>
      <c r="B11" t="s">
        <v>193</v>
      </c>
      <c r="C11" s="18" t="s">
        <v>74</v>
      </c>
      <c r="D11" s="17">
        <v>32991.660000000003</v>
      </c>
      <c r="E11" s="21">
        <v>170672.47</v>
      </c>
      <c r="F11" s="17">
        <v>33496.74</v>
      </c>
      <c r="G11" s="21">
        <v>175326.73</v>
      </c>
      <c r="H11" s="14">
        <v>25366.82</v>
      </c>
      <c r="I11" s="13">
        <v>131281.34</v>
      </c>
      <c r="J11" s="14">
        <v>21808.48</v>
      </c>
      <c r="K11" s="13">
        <v>111096.57</v>
      </c>
      <c r="L11" s="14">
        <v>17006.080000000002</v>
      </c>
      <c r="M11" s="13">
        <v>116838.09</v>
      </c>
      <c r="N11" s="12">
        <v>21683.25</v>
      </c>
      <c r="O11" s="7">
        <v>152872.76</v>
      </c>
      <c r="P11" s="14">
        <v>30548.02</v>
      </c>
      <c r="Q11" s="13">
        <v>172035.53</v>
      </c>
      <c r="R11" s="14">
        <v>26424.58</v>
      </c>
      <c r="S11" s="13">
        <v>172558.03999999998</v>
      </c>
      <c r="T11" s="12">
        <v>19486.98</v>
      </c>
      <c r="U11" s="7">
        <v>144365.44</v>
      </c>
      <c r="V11" s="12">
        <v>15876.9</v>
      </c>
      <c r="W11" s="7">
        <v>136313.31</v>
      </c>
      <c r="X11" s="12">
        <v>16371.63</v>
      </c>
      <c r="Y11" s="7">
        <v>101180.46</v>
      </c>
      <c r="Z11" s="12">
        <v>28835.1</v>
      </c>
      <c r="AA11" s="7">
        <v>185905.32</v>
      </c>
      <c r="AB11" s="12">
        <f t="shared" si="0"/>
        <v>289896.24</v>
      </c>
      <c r="AC11" s="12">
        <f t="shared" si="1"/>
        <v>1770446.06</v>
      </c>
      <c r="AD11">
        <f t="shared" si="2"/>
        <v>6.1071715176436925</v>
      </c>
    </row>
    <row r="12" spans="1:32" ht="15.75" x14ac:dyDescent="0.25">
      <c r="A12" s="19" t="s">
        <v>73</v>
      </c>
      <c r="B12" t="s">
        <v>194</v>
      </c>
      <c r="C12" s="18" t="s">
        <v>71</v>
      </c>
      <c r="D12" s="17">
        <v>24112.05</v>
      </c>
      <c r="E12" s="21">
        <v>124736.46</v>
      </c>
      <c r="F12" s="17">
        <v>30830.92</v>
      </c>
      <c r="G12" s="21">
        <v>160986.5</v>
      </c>
      <c r="H12" s="14">
        <v>26994.52</v>
      </c>
      <c r="I12" s="13">
        <v>139697.54</v>
      </c>
      <c r="J12" s="14">
        <v>19159.580000000002</v>
      </c>
      <c r="K12" s="13">
        <v>97282.66</v>
      </c>
      <c r="L12" s="14">
        <v>13398.08</v>
      </c>
      <c r="M12" s="13">
        <v>91768.74</v>
      </c>
      <c r="N12" s="12">
        <v>21419.32</v>
      </c>
      <c r="O12" s="7">
        <v>129633.26</v>
      </c>
      <c r="P12" s="14">
        <v>28160.62</v>
      </c>
      <c r="Q12" s="13">
        <v>159514.57</v>
      </c>
      <c r="R12" s="14">
        <v>27363.67</v>
      </c>
      <c r="S12" s="13">
        <v>174613.69999999998</v>
      </c>
      <c r="T12" s="12">
        <v>17351.78</v>
      </c>
      <c r="U12" s="7">
        <v>121645.6</v>
      </c>
      <c r="V12" s="12">
        <v>17486.32</v>
      </c>
      <c r="W12" s="7">
        <v>126320.17</v>
      </c>
      <c r="X12" s="12">
        <v>18295.349999999999</v>
      </c>
      <c r="Y12" s="7">
        <v>112803.5</v>
      </c>
      <c r="Z12" s="12">
        <v>31812.45</v>
      </c>
      <c r="AA12" s="7">
        <v>195618.46</v>
      </c>
      <c r="AB12" s="12">
        <f t="shared" si="0"/>
        <v>276384.66000000003</v>
      </c>
      <c r="AC12" s="12">
        <f t="shared" si="1"/>
        <v>1634621.16</v>
      </c>
      <c r="AD12">
        <f t="shared" si="2"/>
        <v>5.9142977037871773</v>
      </c>
    </row>
    <row r="13" spans="1:32" ht="15.75" x14ac:dyDescent="0.25">
      <c r="A13" s="19" t="s">
        <v>70</v>
      </c>
      <c r="B13" t="s">
        <v>195</v>
      </c>
      <c r="C13" s="18" t="s">
        <v>68</v>
      </c>
      <c r="D13" s="17">
        <v>24296.28</v>
      </c>
      <c r="E13" s="21">
        <v>125689.5</v>
      </c>
      <c r="F13" s="17">
        <v>32292</v>
      </c>
      <c r="G13" s="21">
        <v>168556.33</v>
      </c>
      <c r="H13" s="14">
        <v>21936.48</v>
      </c>
      <c r="I13" s="13">
        <v>113533.59</v>
      </c>
      <c r="J13" s="14">
        <v>18296.04</v>
      </c>
      <c r="K13" s="13">
        <v>93159</v>
      </c>
      <c r="L13" s="14">
        <v>16353</v>
      </c>
      <c r="M13" s="13">
        <v>96740.97</v>
      </c>
      <c r="N13" s="24">
        <v>25796.34</v>
      </c>
      <c r="O13" s="7">
        <v>146843.96</v>
      </c>
      <c r="P13" s="14">
        <v>50036.04</v>
      </c>
      <c r="Q13" s="13">
        <v>275507.43</v>
      </c>
      <c r="R13" s="14">
        <v>37769.22</v>
      </c>
      <c r="S13" s="13">
        <v>254121.80000000002</v>
      </c>
      <c r="T13" s="12">
        <v>23212.98</v>
      </c>
      <c r="U13" s="7">
        <v>164090.28</v>
      </c>
      <c r="V13" s="12">
        <v>20953.919999999998</v>
      </c>
      <c r="W13" s="7">
        <v>132298.84</v>
      </c>
      <c r="X13" s="12">
        <v>25022.16</v>
      </c>
      <c r="Y13" s="7">
        <v>151203.4</v>
      </c>
      <c r="Z13" s="12">
        <v>32888.160000000003</v>
      </c>
      <c r="AA13" s="7">
        <v>196383.44</v>
      </c>
      <c r="AB13" s="12">
        <f t="shared" si="0"/>
        <v>328852.62</v>
      </c>
      <c r="AC13" s="12">
        <f t="shared" si="1"/>
        <v>1918128.5399999998</v>
      </c>
      <c r="AD13">
        <f t="shared" si="2"/>
        <v>5.8327908106677082</v>
      </c>
    </row>
    <row r="14" spans="1:32" ht="15.75" x14ac:dyDescent="0.25">
      <c r="A14" s="19" t="s">
        <v>67</v>
      </c>
      <c r="B14" t="s">
        <v>196</v>
      </c>
      <c r="C14" s="18" t="s">
        <v>65</v>
      </c>
      <c r="D14" s="17">
        <v>22986.32</v>
      </c>
      <c r="E14" s="21">
        <v>118912.8</v>
      </c>
      <c r="F14" s="17">
        <v>26569.48</v>
      </c>
      <c r="G14" s="21">
        <v>138871.57</v>
      </c>
      <c r="H14" s="14">
        <v>21210.26</v>
      </c>
      <c r="I14" s="13">
        <v>109767.51</v>
      </c>
      <c r="J14" s="14">
        <v>18526.5</v>
      </c>
      <c r="K14" s="13">
        <v>94400.55</v>
      </c>
      <c r="L14" s="14">
        <v>16596.22</v>
      </c>
      <c r="M14" s="13">
        <v>98152.18</v>
      </c>
      <c r="N14" s="12">
        <v>11404.66</v>
      </c>
      <c r="O14" s="7">
        <v>72592.179999999993</v>
      </c>
      <c r="P14" s="14">
        <v>15646.1</v>
      </c>
      <c r="Q14" s="13">
        <v>88306.27</v>
      </c>
      <c r="R14" s="14">
        <v>13177.62</v>
      </c>
      <c r="S14" s="13">
        <v>86536.42</v>
      </c>
      <c r="T14" s="12">
        <v>12936.46</v>
      </c>
      <c r="U14" s="7">
        <v>82276.149999999994</v>
      </c>
      <c r="V14" s="12">
        <v>17238.96</v>
      </c>
      <c r="W14" s="7">
        <v>102499.96</v>
      </c>
      <c r="X14" s="12">
        <v>19463.18</v>
      </c>
      <c r="Y14" s="7">
        <v>118588.01</v>
      </c>
      <c r="Z14" s="12">
        <v>26186.54</v>
      </c>
      <c r="AA14" s="7">
        <v>155883.60999999999</v>
      </c>
      <c r="AB14" s="12">
        <f t="shared" si="0"/>
        <v>221942.3</v>
      </c>
      <c r="AC14" s="12">
        <f t="shared" si="1"/>
        <v>1266787.21</v>
      </c>
      <c r="AD14">
        <f t="shared" si="2"/>
        <v>5.7077321898529485</v>
      </c>
    </row>
    <row r="15" spans="1:32" ht="15.75" x14ac:dyDescent="0.25">
      <c r="A15" s="19" t="s">
        <v>64</v>
      </c>
      <c r="B15" t="s">
        <v>197</v>
      </c>
      <c r="C15" s="26" t="s">
        <v>62</v>
      </c>
      <c r="D15" s="17">
        <v>15975.53</v>
      </c>
      <c r="E15" s="21">
        <v>82644.62</v>
      </c>
      <c r="F15" s="17">
        <v>17418.990000000002</v>
      </c>
      <c r="G15" s="21">
        <v>91100.43</v>
      </c>
      <c r="H15" s="14">
        <v>14560.08</v>
      </c>
      <c r="I15" s="25">
        <v>9042.02</v>
      </c>
      <c r="J15" s="14">
        <v>15581.1</v>
      </c>
      <c r="K15" s="25">
        <v>79615.13</v>
      </c>
      <c r="L15" s="14">
        <v>13383.93</v>
      </c>
      <c r="M15" s="25">
        <v>79579.38</v>
      </c>
      <c r="N15" s="24">
        <v>15675.7</v>
      </c>
      <c r="O15" s="7">
        <v>92055.96</v>
      </c>
      <c r="P15" s="14">
        <v>23403.48</v>
      </c>
      <c r="Q15" s="25">
        <v>131195.31</v>
      </c>
      <c r="R15" s="14">
        <v>20721.18</v>
      </c>
      <c r="S15" s="25">
        <v>134666.63999999998</v>
      </c>
      <c r="T15" s="12">
        <v>15580.55</v>
      </c>
      <c r="U15" s="7">
        <v>104743.54</v>
      </c>
      <c r="V15" s="12">
        <v>16558.53</v>
      </c>
      <c r="W15" s="7">
        <v>101702.28</v>
      </c>
      <c r="X15" s="12">
        <v>17024.55</v>
      </c>
      <c r="Y15" s="7">
        <v>105265.97</v>
      </c>
      <c r="Z15" s="12">
        <v>19990.48</v>
      </c>
      <c r="AA15" s="7">
        <v>121272.25</v>
      </c>
      <c r="AB15" s="12">
        <f t="shared" si="0"/>
        <v>205874.09999999998</v>
      </c>
      <c r="AC15" s="12">
        <f t="shared" si="1"/>
        <v>1132883.53</v>
      </c>
      <c r="AD15">
        <f t="shared" si="2"/>
        <v>5.5027977292918351</v>
      </c>
      <c r="AE15">
        <f>AB15*0.12</f>
        <v>24704.891999999996</v>
      </c>
      <c r="AF15" t="s">
        <v>118</v>
      </c>
    </row>
    <row r="16" spans="1:32" ht="15.75" x14ac:dyDescent="0.25">
      <c r="A16" s="19" t="s">
        <v>61</v>
      </c>
      <c r="B16" t="s">
        <v>198</v>
      </c>
      <c r="C16" s="18" t="s">
        <v>59</v>
      </c>
      <c r="D16" s="17">
        <v>15473.94</v>
      </c>
      <c r="E16" s="21">
        <v>80049.789999999994</v>
      </c>
      <c r="F16" s="17">
        <v>31016.880000000001</v>
      </c>
      <c r="G16" s="21">
        <v>161413.99</v>
      </c>
      <c r="H16" s="14">
        <v>30870.6</v>
      </c>
      <c r="I16" s="13">
        <v>159749.54999999999</v>
      </c>
      <c r="J16" s="14">
        <v>20218.38</v>
      </c>
      <c r="K16" s="13">
        <v>102496.78</v>
      </c>
      <c r="L16" s="14">
        <v>8804.4</v>
      </c>
      <c r="M16" s="13">
        <v>58966.46</v>
      </c>
      <c r="N16" s="24">
        <v>7543.08</v>
      </c>
      <c r="O16" s="23">
        <v>43233.31</v>
      </c>
      <c r="P16" s="14">
        <v>8666.4</v>
      </c>
      <c r="Q16" s="13">
        <v>49704.84</v>
      </c>
      <c r="R16" s="14">
        <v>10536.3</v>
      </c>
      <c r="S16" s="13">
        <v>64679.31</v>
      </c>
      <c r="T16" s="12">
        <v>7730.76</v>
      </c>
      <c r="U16" s="7">
        <v>52268.6</v>
      </c>
      <c r="V16" s="12">
        <v>9488.8799999999992</v>
      </c>
      <c r="W16" s="7">
        <v>57047.43</v>
      </c>
      <c r="X16" s="12">
        <v>10021.56</v>
      </c>
      <c r="Y16" s="7">
        <v>61696.89</v>
      </c>
      <c r="Z16" s="12">
        <v>23381.34</v>
      </c>
      <c r="AA16" s="7">
        <v>131468.22</v>
      </c>
      <c r="AB16" s="12">
        <f t="shared" si="0"/>
        <v>183752.52</v>
      </c>
      <c r="AC16" s="12">
        <f t="shared" si="1"/>
        <v>1022775.1699999998</v>
      </c>
      <c r="AD16">
        <f t="shared" si="2"/>
        <v>5.5660470397902566</v>
      </c>
    </row>
    <row r="17" spans="1:37" ht="15.75" x14ac:dyDescent="0.25">
      <c r="A17" s="19" t="s">
        <v>58</v>
      </c>
      <c r="B17" t="s">
        <v>199</v>
      </c>
      <c r="C17" s="18" t="s">
        <v>56</v>
      </c>
      <c r="D17" s="17">
        <v>10759.52</v>
      </c>
      <c r="E17" s="21">
        <v>55661.14</v>
      </c>
      <c r="F17" s="17">
        <v>12121.12</v>
      </c>
      <c r="G17" s="21">
        <v>63370.75</v>
      </c>
      <c r="H17" s="14">
        <v>9860.16</v>
      </c>
      <c r="I17" s="13">
        <v>51028</v>
      </c>
      <c r="J17" s="14">
        <v>9705.76</v>
      </c>
      <c r="K17" s="13">
        <v>49540.07</v>
      </c>
      <c r="L17" s="14">
        <v>7610.88</v>
      </c>
      <c r="M17" s="13">
        <v>45814.62</v>
      </c>
      <c r="N17" s="12">
        <v>6756.48</v>
      </c>
      <c r="O17" s="7">
        <v>41186.5</v>
      </c>
      <c r="P17" s="14">
        <v>8735.2000000000007</v>
      </c>
      <c r="Q17" s="13">
        <v>49552.73</v>
      </c>
      <c r="R17" s="14">
        <v>8310.08</v>
      </c>
      <c r="S17" s="13">
        <v>53243.39</v>
      </c>
      <c r="T17" s="12">
        <v>7442.4</v>
      </c>
      <c r="U17" s="7">
        <v>48183.1</v>
      </c>
      <c r="V17" s="12">
        <v>10958.56</v>
      </c>
      <c r="W17" s="7">
        <v>64353.48</v>
      </c>
      <c r="X17" s="12">
        <v>12251.52</v>
      </c>
      <c r="Y17" s="7">
        <v>74759.05</v>
      </c>
      <c r="Z17" s="12">
        <v>15342.24</v>
      </c>
      <c r="AA17" s="7">
        <v>92219.42</v>
      </c>
      <c r="AB17" s="12">
        <f t="shared" si="0"/>
        <v>119853.92</v>
      </c>
      <c r="AC17" s="12">
        <f t="shared" si="1"/>
        <v>688912.25</v>
      </c>
      <c r="AD17">
        <f t="shared" si="2"/>
        <v>5.7479325665777141</v>
      </c>
    </row>
    <row r="18" spans="1:37" ht="15.75" x14ac:dyDescent="0.25">
      <c r="A18" s="19" t="s">
        <v>55</v>
      </c>
      <c r="B18" t="s">
        <v>200</v>
      </c>
      <c r="C18" s="18" t="s">
        <v>53</v>
      </c>
      <c r="D18" s="17">
        <v>10663.6</v>
      </c>
      <c r="E18" s="21">
        <v>55164.959999999999</v>
      </c>
      <c r="F18" s="17">
        <v>10440.040000000001</v>
      </c>
      <c r="G18" s="21">
        <v>54668.26</v>
      </c>
      <c r="H18" s="14">
        <v>9745.56</v>
      </c>
      <c r="I18" s="13">
        <v>50432.480000000003</v>
      </c>
      <c r="J18" s="14">
        <v>8674.34</v>
      </c>
      <c r="K18" s="13">
        <v>44212.1</v>
      </c>
      <c r="L18" s="14">
        <v>8802.67</v>
      </c>
      <c r="M18" s="13">
        <v>51295.41</v>
      </c>
      <c r="N18" s="12">
        <v>11180.07</v>
      </c>
      <c r="O18" s="23">
        <v>65046.77</v>
      </c>
      <c r="P18" s="14">
        <v>17030.919999999998</v>
      </c>
      <c r="Q18" s="13">
        <v>95325.22</v>
      </c>
      <c r="R18" s="14">
        <v>16738.02</v>
      </c>
      <c r="S18" s="13">
        <v>106580.65</v>
      </c>
      <c r="T18" s="12">
        <v>11076.57</v>
      </c>
      <c r="U18" s="7">
        <v>76802.759999999995</v>
      </c>
      <c r="V18" s="12">
        <v>7613.46</v>
      </c>
      <c r="W18" s="7">
        <v>50790.36</v>
      </c>
      <c r="X18" s="12">
        <v>8849.25</v>
      </c>
      <c r="Y18" s="7">
        <v>53684.85</v>
      </c>
      <c r="Z18" s="12">
        <v>9949.4699999999993</v>
      </c>
      <c r="AA18" s="7">
        <v>60908.02</v>
      </c>
      <c r="AB18" s="12">
        <f t="shared" si="0"/>
        <v>130763.97</v>
      </c>
      <c r="AC18" s="12">
        <f t="shared" si="1"/>
        <v>764911.84000000008</v>
      </c>
      <c r="AD18">
        <f t="shared" si="2"/>
        <v>5.8495611596986548</v>
      </c>
    </row>
    <row r="19" spans="1:37" ht="15.75" x14ac:dyDescent="0.25">
      <c r="A19" s="19" t="s">
        <v>52</v>
      </c>
      <c r="B19" t="s">
        <v>201</v>
      </c>
      <c r="C19" s="18" t="s">
        <v>50</v>
      </c>
      <c r="D19" s="17">
        <v>7238.56</v>
      </c>
      <c r="E19" s="21">
        <v>37446.53</v>
      </c>
      <c r="F19" s="17">
        <v>6541.12</v>
      </c>
      <c r="G19" s="21">
        <v>34286.410000000003</v>
      </c>
      <c r="H19" s="14">
        <v>6887.04</v>
      </c>
      <c r="I19" s="13">
        <v>35638.54</v>
      </c>
      <c r="J19" s="14">
        <v>561.6</v>
      </c>
      <c r="K19" s="13">
        <v>2437.4499999999998</v>
      </c>
      <c r="L19" s="14">
        <v>12407.12</v>
      </c>
      <c r="M19" s="13">
        <v>64557.279999999999</v>
      </c>
      <c r="N19" s="12">
        <v>5398.16</v>
      </c>
      <c r="O19" s="7">
        <v>38088.11</v>
      </c>
      <c r="P19" s="14">
        <v>6416.8</v>
      </c>
      <c r="Q19" s="13">
        <v>36681.879999999997</v>
      </c>
      <c r="R19" s="14">
        <v>6348.64</v>
      </c>
      <c r="S19" s="13">
        <v>40375.050000000003</v>
      </c>
      <c r="T19" s="12">
        <v>5447.12</v>
      </c>
      <c r="U19" s="7">
        <v>35575.85</v>
      </c>
      <c r="V19" s="12">
        <v>6544.8</v>
      </c>
      <c r="W19" s="7">
        <v>39465.9</v>
      </c>
      <c r="X19" s="12">
        <v>6483.04</v>
      </c>
      <c r="Y19" s="7">
        <v>40334.26</v>
      </c>
      <c r="Z19" s="12">
        <v>6541.12</v>
      </c>
      <c r="AA19" s="7">
        <v>34286.410000000003</v>
      </c>
      <c r="AB19" s="12">
        <f t="shared" si="0"/>
        <v>76815.12000000001</v>
      </c>
      <c r="AC19" s="12">
        <f t="shared" si="1"/>
        <v>439173.67000000004</v>
      </c>
      <c r="AD19">
        <f t="shared" si="2"/>
        <v>5.7172815716489147</v>
      </c>
    </row>
    <row r="20" spans="1:37" ht="15.75" x14ac:dyDescent="0.25">
      <c r="A20" s="19" t="s">
        <v>49</v>
      </c>
      <c r="B20" t="s">
        <v>202</v>
      </c>
      <c r="C20" s="18" t="s">
        <v>47</v>
      </c>
      <c r="D20" s="17">
        <v>19661.55</v>
      </c>
      <c r="E20" s="21">
        <v>101713.13</v>
      </c>
      <c r="F20" s="17">
        <v>27206.7</v>
      </c>
      <c r="G20" s="21">
        <v>141962.28</v>
      </c>
      <c r="H20" s="14">
        <v>21546.98</v>
      </c>
      <c r="I20" s="13">
        <v>111510.45</v>
      </c>
      <c r="J20" s="14">
        <v>15968.32</v>
      </c>
      <c r="K20" s="13">
        <v>81143.710000000006</v>
      </c>
      <c r="L20" s="14">
        <v>15821.7</v>
      </c>
      <c r="M20" s="13">
        <v>92447.46</v>
      </c>
      <c r="N20" s="12">
        <v>9023.4699999999993</v>
      </c>
      <c r="O20" s="7">
        <v>56639.41</v>
      </c>
      <c r="P20" s="14">
        <v>11409.15</v>
      </c>
      <c r="Q20" s="13">
        <v>64849.78</v>
      </c>
      <c r="R20" s="14">
        <v>14276.1</v>
      </c>
      <c r="S20" s="13">
        <v>87245.569999999992</v>
      </c>
      <c r="T20" s="12">
        <v>17588.099999999999</v>
      </c>
      <c r="U20" s="7">
        <v>107619.83</v>
      </c>
      <c r="V20" s="12">
        <v>21590.1</v>
      </c>
      <c r="W20" s="7">
        <v>129798.58</v>
      </c>
      <c r="X20" s="12">
        <v>24959.02</v>
      </c>
      <c r="Y20" s="7">
        <v>151537.43</v>
      </c>
      <c r="Z20" s="12">
        <v>31850.400000000001</v>
      </c>
      <c r="AA20" s="7">
        <v>190948.65</v>
      </c>
      <c r="AB20" s="12">
        <f t="shared" si="0"/>
        <v>230901.58999999997</v>
      </c>
      <c r="AC20" s="12">
        <f t="shared" si="1"/>
        <v>1317416.2799999998</v>
      </c>
      <c r="AD20">
        <f t="shared" si="2"/>
        <v>5.7055314344089183</v>
      </c>
    </row>
    <row r="21" spans="1:37" ht="15.75" x14ac:dyDescent="0.25">
      <c r="A21" s="19" t="s">
        <v>46</v>
      </c>
      <c r="B21" t="s">
        <v>203</v>
      </c>
      <c r="C21" s="18" t="s">
        <v>44</v>
      </c>
      <c r="D21" s="17">
        <v>30772.62</v>
      </c>
      <c r="E21" s="21">
        <v>159192.93</v>
      </c>
      <c r="F21" s="17">
        <v>59600.82</v>
      </c>
      <c r="G21" s="21">
        <v>229430.5</v>
      </c>
      <c r="H21" s="14">
        <v>33245.58</v>
      </c>
      <c r="I21" s="13">
        <v>172081.66</v>
      </c>
      <c r="J21" s="14">
        <v>41197.14</v>
      </c>
      <c r="K21" s="13">
        <v>210862.77</v>
      </c>
      <c r="L21" s="14">
        <v>28509.42</v>
      </c>
      <c r="M21" s="13">
        <v>174828.69</v>
      </c>
      <c r="N21" s="12">
        <v>36528.6</v>
      </c>
      <c r="O21" s="7">
        <v>212321.11</v>
      </c>
      <c r="P21" s="14">
        <v>47696.94</v>
      </c>
      <c r="Q21" s="13">
        <v>270338.42</v>
      </c>
      <c r="R21" s="14">
        <v>44400.12</v>
      </c>
      <c r="S21" s="13">
        <v>285679.07</v>
      </c>
      <c r="T21" s="12">
        <v>35441.160000000003</v>
      </c>
      <c r="U21" s="7">
        <v>235074.76</v>
      </c>
      <c r="V21" s="12">
        <v>31753.86</v>
      </c>
      <c r="W21" s="7">
        <v>200666.08</v>
      </c>
      <c r="X21" s="12">
        <v>28560.48</v>
      </c>
      <c r="Y21" s="7">
        <v>180703.93</v>
      </c>
      <c r="Z21" s="12">
        <v>71346</v>
      </c>
      <c r="AA21" s="7">
        <v>399044.95</v>
      </c>
      <c r="AB21" s="12">
        <f t="shared" si="0"/>
        <v>489052.74</v>
      </c>
      <c r="AC21" s="12">
        <f t="shared" si="1"/>
        <v>2730224.8700000006</v>
      </c>
      <c r="AD21">
        <f t="shared" si="2"/>
        <v>5.5826798353077436</v>
      </c>
    </row>
    <row r="22" spans="1:37" ht="15.75" x14ac:dyDescent="0.25">
      <c r="A22" s="19" t="s">
        <v>43</v>
      </c>
      <c r="B22" t="s">
        <v>204</v>
      </c>
      <c r="C22" s="18" t="s">
        <v>41</v>
      </c>
      <c r="D22" s="17">
        <v>5674</v>
      </c>
      <c r="E22" s="21">
        <v>29352.74</v>
      </c>
      <c r="F22" s="17">
        <v>7033.76</v>
      </c>
      <c r="G22" s="21">
        <v>36738.14</v>
      </c>
      <c r="H22" s="14">
        <v>4189.76</v>
      </c>
      <c r="I22" s="13">
        <v>21685.75</v>
      </c>
      <c r="J22" s="14">
        <v>3728.64</v>
      </c>
      <c r="K22" s="13">
        <v>19004.400000000001</v>
      </c>
      <c r="L22" s="14">
        <v>2704.48</v>
      </c>
      <c r="M22" s="13">
        <v>16465.63</v>
      </c>
      <c r="N22" s="12">
        <v>2513.52</v>
      </c>
      <c r="O22" s="7">
        <v>15218.14</v>
      </c>
      <c r="P22" s="14">
        <v>3419.36</v>
      </c>
      <c r="Q22" s="13">
        <v>9089.3799999999992</v>
      </c>
      <c r="R22" s="14">
        <v>3749.28</v>
      </c>
      <c r="S22" s="13">
        <v>23409.54</v>
      </c>
      <c r="T22" s="12">
        <v>3505.84</v>
      </c>
      <c r="U22" s="7">
        <v>22504.71</v>
      </c>
      <c r="V22" s="12">
        <v>4067.28</v>
      </c>
      <c r="W22" s="7">
        <v>24650.45</v>
      </c>
      <c r="X22" s="12">
        <v>4240.16</v>
      </c>
      <c r="Y22" s="7">
        <v>26158.7</v>
      </c>
      <c r="Z22" s="12">
        <v>6776.96</v>
      </c>
      <c r="AA22" s="7">
        <v>32329.360000000001</v>
      </c>
      <c r="AB22" s="12">
        <f t="shared" si="0"/>
        <v>51603.040000000001</v>
      </c>
      <c r="AC22" s="12">
        <f t="shared" si="1"/>
        <v>276606.94</v>
      </c>
      <c r="AD22">
        <f t="shared" si="2"/>
        <v>5.3602838127366139</v>
      </c>
    </row>
    <row r="23" spans="1:37" ht="15.75" x14ac:dyDescent="0.25">
      <c r="A23" s="19" t="s">
        <v>40</v>
      </c>
      <c r="B23" t="s">
        <v>205</v>
      </c>
      <c r="C23" s="18" t="s">
        <v>38</v>
      </c>
      <c r="D23" s="17">
        <v>5722.8</v>
      </c>
      <c r="E23" s="21">
        <v>29605.200000000001</v>
      </c>
      <c r="F23" s="17">
        <v>6983.28</v>
      </c>
      <c r="G23" s="21">
        <v>36480.019999999997</v>
      </c>
      <c r="H23" s="14">
        <v>4986.24</v>
      </c>
      <c r="I23" s="13">
        <v>25806.03</v>
      </c>
      <c r="J23" s="14">
        <v>4352.16</v>
      </c>
      <c r="K23" s="13">
        <v>22175.89</v>
      </c>
      <c r="L23" s="14">
        <v>3046</v>
      </c>
      <c r="M23" s="13">
        <v>18646.23</v>
      </c>
      <c r="N23" s="12">
        <v>2481.84</v>
      </c>
      <c r="O23" s="23">
        <v>2555.66</v>
      </c>
      <c r="P23" s="14">
        <v>2469.6</v>
      </c>
      <c r="Q23" s="13">
        <v>14378.67</v>
      </c>
      <c r="R23" s="14">
        <v>2364.3200000000002</v>
      </c>
      <c r="S23" s="13">
        <v>15130</v>
      </c>
      <c r="T23" s="12">
        <v>3116.8</v>
      </c>
      <c r="U23" s="7">
        <v>18878.5</v>
      </c>
      <c r="V23" s="12">
        <v>4610.88</v>
      </c>
      <c r="W23" s="7">
        <v>27062.05</v>
      </c>
      <c r="X23" s="12">
        <v>4893.04</v>
      </c>
      <c r="Y23" s="7">
        <v>30100.66</v>
      </c>
      <c r="Z23" s="12">
        <v>7720.56</v>
      </c>
      <c r="AA23" s="7">
        <v>45072.45</v>
      </c>
      <c r="AB23" s="12">
        <f t="shared" si="0"/>
        <v>52747.519999999997</v>
      </c>
      <c r="AC23" s="12">
        <f t="shared" si="1"/>
        <v>285891.36</v>
      </c>
      <c r="AD23">
        <f t="shared" si="2"/>
        <v>5.4199962386857239</v>
      </c>
    </row>
    <row r="24" spans="1:37" ht="15.75" x14ac:dyDescent="0.25">
      <c r="A24" s="19" t="s">
        <v>37</v>
      </c>
      <c r="B24" t="s">
        <v>206</v>
      </c>
      <c r="C24" s="18" t="s">
        <v>35</v>
      </c>
      <c r="D24" s="17">
        <v>7544.34</v>
      </c>
      <c r="E24" s="21">
        <v>39028.36</v>
      </c>
      <c r="F24" s="17">
        <v>6915.1</v>
      </c>
      <c r="G24" s="21">
        <v>34286.410000000003</v>
      </c>
      <c r="H24" s="14">
        <v>5203.22</v>
      </c>
      <c r="I24" s="13">
        <v>26928.36</v>
      </c>
      <c r="J24" s="14">
        <v>4344.9399999999996</v>
      </c>
      <c r="K24" s="13">
        <v>22123.79</v>
      </c>
      <c r="L24" s="14">
        <v>2920.7</v>
      </c>
      <c r="M24" s="13">
        <v>17993.189999999999</v>
      </c>
      <c r="N24" s="12">
        <v>2345.1</v>
      </c>
      <c r="O24" s="20">
        <v>14523.93</v>
      </c>
      <c r="P24" s="14">
        <v>2253.65</v>
      </c>
      <c r="Q24" s="13">
        <v>13173.21</v>
      </c>
      <c r="R24" s="14">
        <v>2231.81</v>
      </c>
      <c r="S24" s="13">
        <v>14191.050000000001</v>
      </c>
      <c r="T24" s="12">
        <v>3317.26</v>
      </c>
      <c r="U24" s="7">
        <v>19761.099999999999</v>
      </c>
      <c r="V24" s="12">
        <v>4519.78</v>
      </c>
      <c r="W24" s="7">
        <v>26797.15</v>
      </c>
      <c r="X24" s="12">
        <v>4682.1000000000004</v>
      </c>
      <c r="Y24" s="7">
        <v>28914.799999999999</v>
      </c>
      <c r="Z24" s="12">
        <v>8306.01</v>
      </c>
      <c r="AA24" s="7">
        <v>47879.839999999997</v>
      </c>
      <c r="AB24" s="12">
        <f t="shared" si="0"/>
        <v>54584.01</v>
      </c>
      <c r="AC24" s="12">
        <f t="shared" si="1"/>
        <v>305601.18999999994</v>
      </c>
      <c r="AD24">
        <f t="shared" si="2"/>
        <v>5.5987310203116252</v>
      </c>
    </row>
    <row r="25" spans="1:37" ht="15.75" x14ac:dyDescent="0.25">
      <c r="A25" s="19" t="s">
        <v>34</v>
      </c>
      <c r="B25" t="s">
        <v>207</v>
      </c>
      <c r="C25" s="18" t="s">
        <v>32</v>
      </c>
      <c r="D25" s="17">
        <v>5076.88</v>
      </c>
      <c r="E25" s="21">
        <v>26263.71</v>
      </c>
      <c r="F25" s="17">
        <v>11354.08</v>
      </c>
      <c r="G25" s="21">
        <v>59051.08</v>
      </c>
      <c r="H25" s="14">
        <v>6509.44</v>
      </c>
      <c r="I25" s="13">
        <v>33692.86</v>
      </c>
      <c r="J25" s="14">
        <v>7425.92</v>
      </c>
      <c r="K25" s="13">
        <v>37973.599999999999</v>
      </c>
      <c r="L25" s="14">
        <v>3108.56</v>
      </c>
      <c r="M25" s="13">
        <v>21010.01</v>
      </c>
      <c r="N25" s="12">
        <v>2564.88</v>
      </c>
      <c r="O25" s="7">
        <v>15814.78</v>
      </c>
      <c r="P25" s="14">
        <v>2545.92</v>
      </c>
      <c r="Q25" s="13">
        <v>14827.15</v>
      </c>
      <c r="R25" s="14">
        <v>1653.04</v>
      </c>
      <c r="S25" s="13">
        <v>11539.99</v>
      </c>
      <c r="T25" s="12">
        <v>1602.72</v>
      </c>
      <c r="U25" s="22">
        <v>10217.14</v>
      </c>
      <c r="V25" s="12">
        <v>3453.68</v>
      </c>
      <c r="W25" s="22">
        <v>19516.740000000002</v>
      </c>
      <c r="X25" s="12">
        <v>7621.84</v>
      </c>
      <c r="Y25" s="22">
        <v>43015.63</v>
      </c>
      <c r="Z25" s="12">
        <v>16266.88</v>
      </c>
      <c r="AA25" s="22">
        <v>92146.559999999998</v>
      </c>
      <c r="AB25" s="12">
        <f t="shared" si="0"/>
        <v>69183.839999999997</v>
      </c>
      <c r="AC25" s="12">
        <f t="shared" si="1"/>
        <v>385069.25</v>
      </c>
      <c r="AD25">
        <f t="shared" si="2"/>
        <v>5.5658843163374572</v>
      </c>
    </row>
    <row r="26" spans="1:37" ht="15.75" x14ac:dyDescent="0.25">
      <c r="A26" s="19" t="s">
        <v>31</v>
      </c>
      <c r="B26" t="s">
        <v>208</v>
      </c>
      <c r="C26" s="18" t="s">
        <v>29</v>
      </c>
      <c r="D26" s="17">
        <v>2567.08</v>
      </c>
      <c r="E26" s="21">
        <v>18453.22</v>
      </c>
      <c r="F26" s="17">
        <v>3786.84</v>
      </c>
      <c r="G26" s="21">
        <v>19810.8</v>
      </c>
      <c r="H26" s="14">
        <v>3168.28</v>
      </c>
      <c r="I26" s="13">
        <v>19408.169999999998</v>
      </c>
      <c r="J26" s="14">
        <v>3171</v>
      </c>
      <c r="K26" s="13">
        <v>19513.099999999999</v>
      </c>
      <c r="L26" s="14">
        <v>3037.08</v>
      </c>
      <c r="M26" s="13">
        <v>21926.34</v>
      </c>
      <c r="N26" s="12">
        <v>2741.75</v>
      </c>
      <c r="O26" s="7">
        <v>19364.689999999999</v>
      </c>
      <c r="P26" s="14">
        <v>2879.48</v>
      </c>
      <c r="Q26" s="13">
        <v>16666.919999999998</v>
      </c>
      <c r="R26" s="14">
        <v>2865.73</v>
      </c>
      <c r="S26" s="13">
        <v>18205.03</v>
      </c>
      <c r="T26" s="12">
        <v>3246.65</v>
      </c>
      <c r="U26" s="7">
        <v>20134.43</v>
      </c>
      <c r="V26" s="12">
        <v>4492.7299999999996</v>
      </c>
      <c r="W26" s="7">
        <v>26584.53</v>
      </c>
      <c r="X26" s="12">
        <v>4502.45</v>
      </c>
      <c r="Y26" s="7">
        <v>27957.37</v>
      </c>
      <c r="Z26" s="12">
        <v>5185.43</v>
      </c>
      <c r="AA26" s="7">
        <v>31548</v>
      </c>
      <c r="AB26" s="12">
        <f t="shared" si="0"/>
        <v>41644.5</v>
      </c>
      <c r="AC26" s="12">
        <f t="shared" si="1"/>
        <v>259572.59999999998</v>
      </c>
      <c r="AD26">
        <f t="shared" si="2"/>
        <v>6.2330583870619165</v>
      </c>
    </row>
    <row r="27" spans="1:37" ht="15.75" x14ac:dyDescent="0.25">
      <c r="A27" s="19" t="s">
        <v>28</v>
      </c>
      <c r="B27" t="s">
        <v>209</v>
      </c>
      <c r="C27" s="18" t="s">
        <v>26</v>
      </c>
      <c r="D27" s="17">
        <v>23366.16</v>
      </c>
      <c r="E27" s="21">
        <v>120877.81</v>
      </c>
      <c r="F27" s="17">
        <v>23620.77</v>
      </c>
      <c r="G27" s="21">
        <v>123640.79</v>
      </c>
      <c r="H27" s="14">
        <v>21726.720000000001</v>
      </c>
      <c r="I27" s="13">
        <v>112434.57</v>
      </c>
      <c r="J27" s="14">
        <v>16413.03</v>
      </c>
      <c r="K27" s="13">
        <v>83432.06</v>
      </c>
      <c r="L27" s="14">
        <v>15754.77</v>
      </c>
      <c r="M27" s="13">
        <v>92396.39</v>
      </c>
      <c r="N27" s="12">
        <v>10310.67</v>
      </c>
      <c r="O27" s="7">
        <v>73984.56</v>
      </c>
      <c r="P27" s="14">
        <v>10693.62</v>
      </c>
      <c r="Q27" s="13">
        <v>73131.13</v>
      </c>
      <c r="R27" s="14">
        <v>10314.81</v>
      </c>
      <c r="S27" s="13">
        <v>65913.119999999995</v>
      </c>
      <c r="T27" s="12">
        <v>11759.67</v>
      </c>
      <c r="U27" s="22">
        <v>89406.13</v>
      </c>
      <c r="V27" s="12">
        <v>16951.23</v>
      </c>
      <c r="W27" s="22">
        <v>137893.98000000001</v>
      </c>
      <c r="X27" s="12">
        <v>17510.13</v>
      </c>
      <c r="Y27" s="22">
        <v>108185.75</v>
      </c>
      <c r="Z27" s="12">
        <v>27009.360000000001</v>
      </c>
      <c r="AA27" s="22">
        <v>176931.74</v>
      </c>
      <c r="AB27" s="12">
        <f t="shared" si="0"/>
        <v>205430.94</v>
      </c>
      <c r="AC27" s="12">
        <f t="shared" si="1"/>
        <v>1258228.03</v>
      </c>
      <c r="AD27">
        <f t="shared" si="2"/>
        <v>6.1248224342448125</v>
      </c>
    </row>
    <row r="28" spans="1:37" ht="15.75" x14ac:dyDescent="0.25">
      <c r="A28" s="19" t="s">
        <v>25</v>
      </c>
      <c r="B28" t="s">
        <v>210</v>
      </c>
      <c r="C28" s="18" t="s">
        <v>23</v>
      </c>
      <c r="D28" s="17">
        <v>634.03</v>
      </c>
      <c r="E28" s="21">
        <v>3279.96</v>
      </c>
      <c r="F28" s="17">
        <v>690.54</v>
      </c>
      <c r="G28" s="21">
        <v>3611.53</v>
      </c>
      <c r="H28" s="14">
        <v>587.58000000000004</v>
      </c>
      <c r="I28" s="13">
        <v>3052.1</v>
      </c>
      <c r="J28" s="14">
        <v>501.95</v>
      </c>
      <c r="K28" s="13">
        <v>2573.9699999999998</v>
      </c>
      <c r="L28" s="14">
        <v>420.48</v>
      </c>
      <c r="M28" s="13">
        <v>2541.64</v>
      </c>
      <c r="N28" s="12">
        <v>403.3</v>
      </c>
      <c r="O28" s="7">
        <v>2454.5700000000002</v>
      </c>
      <c r="P28" s="14">
        <v>428.53</v>
      </c>
      <c r="Q28" s="13">
        <v>2518.21</v>
      </c>
      <c r="R28" s="14">
        <v>386.88</v>
      </c>
      <c r="S28" s="13">
        <v>2377.9</v>
      </c>
      <c r="T28" s="12"/>
      <c r="U28" s="22"/>
      <c r="V28" s="12"/>
      <c r="W28" s="22"/>
      <c r="X28" s="12"/>
      <c r="Y28" s="22"/>
      <c r="Z28" s="12"/>
      <c r="AA28" s="22"/>
      <c r="AB28" s="12">
        <f t="shared" si="0"/>
        <v>4053.29</v>
      </c>
      <c r="AC28" s="12">
        <f t="shared" si="1"/>
        <v>22409.88</v>
      </c>
      <c r="AD28">
        <f t="shared" si="2"/>
        <v>5.5288123968430583</v>
      </c>
      <c r="AI28" s="16"/>
      <c r="AJ28" s="16"/>
      <c r="AK28" s="16"/>
    </row>
    <row r="29" spans="1:37" ht="15.75" x14ac:dyDescent="0.25">
      <c r="A29" s="19" t="s">
        <v>22</v>
      </c>
      <c r="B29" t="s">
        <v>211</v>
      </c>
      <c r="C29" s="18" t="s">
        <v>20</v>
      </c>
      <c r="D29" s="17">
        <v>4377.03</v>
      </c>
      <c r="E29" s="21">
        <v>23634.06</v>
      </c>
      <c r="F29" s="17">
        <v>4990.2</v>
      </c>
      <c r="G29" s="21">
        <v>26885.99</v>
      </c>
      <c r="H29" s="14">
        <v>3789</v>
      </c>
      <c r="I29" s="13">
        <v>20547.86</v>
      </c>
      <c r="J29" s="14">
        <v>4319.43</v>
      </c>
      <c r="K29" s="13">
        <v>23178.18</v>
      </c>
      <c r="L29" s="14">
        <v>3412.95</v>
      </c>
      <c r="M29" s="13">
        <v>21827.43</v>
      </c>
      <c r="N29" s="12">
        <v>2849.31</v>
      </c>
      <c r="O29" s="7">
        <v>22018.05</v>
      </c>
      <c r="P29" s="14">
        <v>3275.13</v>
      </c>
      <c r="Q29" s="13">
        <v>19910.78</v>
      </c>
      <c r="R29" s="14">
        <v>2901.48</v>
      </c>
      <c r="S29" s="13">
        <v>19935.439999999999</v>
      </c>
      <c r="T29" s="12">
        <v>2953.89</v>
      </c>
      <c r="U29" s="22">
        <v>19691.82</v>
      </c>
      <c r="V29" s="12">
        <v>4908.4799999999996</v>
      </c>
      <c r="W29" s="22">
        <v>29945.39</v>
      </c>
      <c r="X29" s="12">
        <v>4347.0600000000004</v>
      </c>
      <c r="Y29" s="22">
        <v>29208.6</v>
      </c>
      <c r="Z29" s="12">
        <v>7342.08</v>
      </c>
      <c r="AA29" s="22">
        <v>44764.09</v>
      </c>
      <c r="AB29" s="12">
        <f t="shared" si="0"/>
        <v>49466.04</v>
      </c>
      <c r="AC29" s="12">
        <f t="shared" si="1"/>
        <v>301547.69</v>
      </c>
      <c r="AD29">
        <f t="shared" si="2"/>
        <v>6.0960547882951612</v>
      </c>
      <c r="AI29" s="16"/>
      <c r="AJ29" s="16"/>
      <c r="AK29" s="16"/>
    </row>
    <row r="30" spans="1:37" ht="15.75" x14ac:dyDescent="0.25">
      <c r="A30" s="19" t="s">
        <v>19</v>
      </c>
      <c r="B30" t="s">
        <v>212</v>
      </c>
      <c r="C30" s="18" t="s">
        <v>17</v>
      </c>
      <c r="D30" s="17">
        <v>6063.3</v>
      </c>
      <c r="E30" s="21">
        <v>32739.19</v>
      </c>
      <c r="F30" s="17">
        <v>7158.85</v>
      </c>
      <c r="G30" s="21">
        <v>38804.49</v>
      </c>
      <c r="H30" s="14">
        <v>4424.55</v>
      </c>
      <c r="I30" s="13">
        <v>24018.21</v>
      </c>
      <c r="J30" s="14">
        <v>3571.65</v>
      </c>
      <c r="K30" s="13">
        <v>19116.189999999999</v>
      </c>
      <c r="L30" s="14">
        <v>2418.8000000000002</v>
      </c>
      <c r="M30" s="13">
        <v>15871.02</v>
      </c>
      <c r="N30" s="12">
        <v>2407.75</v>
      </c>
      <c r="O30" s="20">
        <v>15309.85</v>
      </c>
      <c r="P30" s="14">
        <v>2757.6</v>
      </c>
      <c r="Q30" s="13">
        <v>16771.330000000002</v>
      </c>
      <c r="R30" s="14">
        <v>2823.1</v>
      </c>
      <c r="S30" s="13">
        <v>18837.689999999999</v>
      </c>
      <c r="T30" s="12">
        <v>3196.1</v>
      </c>
      <c r="U30" s="7">
        <v>20898.560000000001</v>
      </c>
      <c r="V30" s="12">
        <v>3444.9</v>
      </c>
      <c r="W30" s="7">
        <v>22324.91</v>
      </c>
      <c r="X30" s="12">
        <v>3846.8</v>
      </c>
      <c r="Y30" s="7">
        <v>24796.98</v>
      </c>
      <c r="Z30" s="12">
        <v>6475.25</v>
      </c>
      <c r="AA30" s="7">
        <v>39494.35</v>
      </c>
      <c r="AB30" s="12">
        <f t="shared" si="0"/>
        <v>48588.65</v>
      </c>
      <c r="AC30" s="12">
        <f t="shared" si="1"/>
        <v>288982.76999999996</v>
      </c>
      <c r="AD30">
        <f t="shared" si="2"/>
        <v>5.9475365131568783</v>
      </c>
      <c r="AI30" s="16"/>
      <c r="AJ30" s="16"/>
      <c r="AK30" s="16"/>
    </row>
    <row r="31" spans="1:37" ht="15.75" x14ac:dyDescent="0.25">
      <c r="A31" s="19" t="s">
        <v>16</v>
      </c>
      <c r="B31" t="s">
        <v>213</v>
      </c>
      <c r="C31" s="18" t="s">
        <v>14</v>
      </c>
      <c r="D31" s="17">
        <v>4002.06</v>
      </c>
      <c r="E31" s="21">
        <v>21609.38</v>
      </c>
      <c r="F31" s="17">
        <v>4342.26</v>
      </c>
      <c r="G31" s="21">
        <v>23304.31</v>
      </c>
      <c r="H31" s="14">
        <v>3693</v>
      </c>
      <c r="I31" s="13">
        <v>20017.95</v>
      </c>
      <c r="J31" s="14">
        <v>3267.36</v>
      </c>
      <c r="K31" s="13">
        <v>17501.13</v>
      </c>
      <c r="L31" s="14">
        <v>2602.7399999999998</v>
      </c>
      <c r="M31" s="13">
        <v>16624.77</v>
      </c>
      <c r="N31" s="12">
        <v>2404.44</v>
      </c>
      <c r="O31" s="7">
        <v>15467.59</v>
      </c>
      <c r="P31" s="14">
        <v>3348.54</v>
      </c>
      <c r="Q31" s="13">
        <v>19959.560000000001</v>
      </c>
      <c r="R31" s="14">
        <v>3132.12</v>
      </c>
      <c r="S31" s="13">
        <v>21276.480000000003</v>
      </c>
      <c r="T31" s="12">
        <v>2784.12</v>
      </c>
      <c r="U31" s="7">
        <v>19072.599999999999</v>
      </c>
      <c r="V31" s="12">
        <v>3014.82</v>
      </c>
      <c r="W31" s="7">
        <v>21369.66</v>
      </c>
      <c r="X31" s="12">
        <v>3806.64</v>
      </c>
      <c r="Y31" s="7">
        <v>24077.52</v>
      </c>
      <c r="Z31" s="12">
        <v>5853.6</v>
      </c>
      <c r="AA31" s="7">
        <v>36090.43</v>
      </c>
      <c r="AB31" s="12">
        <f t="shared" si="0"/>
        <v>42251.7</v>
      </c>
      <c r="AC31" s="12">
        <f t="shared" si="1"/>
        <v>256371.38</v>
      </c>
      <c r="AD31">
        <f t="shared" si="2"/>
        <v>6.0677175119580991</v>
      </c>
      <c r="AI31" s="35"/>
      <c r="AJ31" s="16"/>
      <c r="AK31" s="16"/>
    </row>
    <row r="32" spans="1:37" ht="15.75" x14ac:dyDescent="0.25">
      <c r="A32" s="19" t="s">
        <v>13</v>
      </c>
      <c r="B32" t="s">
        <v>214</v>
      </c>
      <c r="C32" s="18" t="s">
        <v>11</v>
      </c>
      <c r="D32" s="17">
        <v>5394.06</v>
      </c>
      <c r="E32" s="21">
        <v>29125.59</v>
      </c>
      <c r="F32" s="17">
        <v>5934.64</v>
      </c>
      <c r="G32" s="21">
        <v>32099.53</v>
      </c>
      <c r="H32" s="14">
        <v>4563.3</v>
      </c>
      <c r="I32" s="13">
        <v>24745.56</v>
      </c>
      <c r="J32" s="14">
        <v>3671.41</v>
      </c>
      <c r="K32" s="13">
        <v>19649.52</v>
      </c>
      <c r="L32" s="14">
        <v>2450.83</v>
      </c>
      <c r="M32" s="13">
        <v>16122.46</v>
      </c>
      <c r="N32" s="12">
        <v>2046.45</v>
      </c>
      <c r="O32" s="7">
        <v>15400.73</v>
      </c>
      <c r="P32" s="14">
        <v>2763.72</v>
      </c>
      <c r="Q32" s="13">
        <v>16522.03</v>
      </c>
      <c r="R32" s="14">
        <v>1830.28</v>
      </c>
      <c r="S32" s="13">
        <v>13484.849999999999</v>
      </c>
      <c r="T32" s="12">
        <v>2060.71</v>
      </c>
      <c r="U32" s="22">
        <v>15314.06</v>
      </c>
      <c r="V32" s="12">
        <v>3293.7</v>
      </c>
      <c r="W32" s="22">
        <v>21892.01</v>
      </c>
      <c r="X32" s="12">
        <v>4219.08</v>
      </c>
      <c r="Y32" s="22">
        <v>26630.44</v>
      </c>
      <c r="Z32" s="12">
        <v>6131.2</v>
      </c>
      <c r="AA32" s="22">
        <v>38075.089999999997</v>
      </c>
      <c r="AB32" s="12">
        <f t="shared" si="0"/>
        <v>44359.38</v>
      </c>
      <c r="AC32" s="12">
        <f t="shared" si="1"/>
        <v>269061.87</v>
      </c>
      <c r="AD32">
        <f t="shared" si="2"/>
        <v>6.0655011409086423</v>
      </c>
      <c r="AI32" s="16"/>
      <c r="AJ32" s="16"/>
      <c r="AK32" s="16"/>
    </row>
    <row r="33" spans="1:36" ht="15.75" x14ac:dyDescent="0.25">
      <c r="A33" s="19" t="s">
        <v>10</v>
      </c>
      <c r="B33" t="s">
        <v>215</v>
      </c>
      <c r="C33" s="18" t="s">
        <v>8</v>
      </c>
      <c r="D33" s="17">
        <v>4053.28</v>
      </c>
      <c r="E33" s="21">
        <v>21885.96</v>
      </c>
      <c r="F33" s="17">
        <v>3833.08</v>
      </c>
      <c r="G33" s="21">
        <v>20562.21</v>
      </c>
      <c r="H33" s="14">
        <v>3943.84</v>
      </c>
      <c r="I33" s="13">
        <v>21363.34</v>
      </c>
      <c r="J33" s="14">
        <v>3357.44</v>
      </c>
      <c r="K33" s="13">
        <v>17977.919999999998</v>
      </c>
      <c r="L33" s="14">
        <v>3953.12</v>
      </c>
      <c r="M33" s="13">
        <v>23987.119999999999</v>
      </c>
      <c r="N33" s="12">
        <v>3138.76</v>
      </c>
      <c r="O33" s="7">
        <v>20721.71</v>
      </c>
      <c r="P33" s="14">
        <v>3960.36</v>
      </c>
      <c r="Q33" s="13">
        <v>23836.91</v>
      </c>
      <c r="R33" s="14">
        <v>3711.76</v>
      </c>
      <c r="S33" s="13">
        <v>25203.719999999998</v>
      </c>
      <c r="T33" s="12">
        <v>3632.92</v>
      </c>
      <c r="U33" s="7">
        <v>24403.32</v>
      </c>
      <c r="V33" s="12">
        <v>3542.92</v>
      </c>
      <c r="W33" s="7">
        <v>23363.119999999999</v>
      </c>
      <c r="X33" s="12">
        <v>3329.12</v>
      </c>
      <c r="Y33" s="7">
        <v>22116.28</v>
      </c>
      <c r="Z33" s="12">
        <v>3621.92</v>
      </c>
      <c r="AA33" s="7">
        <v>23477.89</v>
      </c>
      <c r="AB33" s="12">
        <f t="shared" si="0"/>
        <v>44078.520000000004</v>
      </c>
      <c r="AC33" s="12">
        <f t="shared" si="1"/>
        <v>268899.5</v>
      </c>
      <c r="AD33">
        <f t="shared" si="2"/>
        <v>6.1004657143660896</v>
      </c>
      <c r="AI33" s="36"/>
      <c r="AJ33" s="16"/>
    </row>
    <row r="34" spans="1:36" ht="15.75" x14ac:dyDescent="0.25">
      <c r="A34" s="19">
        <v>31</v>
      </c>
      <c r="B34" t="s">
        <v>216</v>
      </c>
      <c r="C34" s="18" t="s">
        <v>6</v>
      </c>
      <c r="D34" s="17">
        <v>4857.54</v>
      </c>
      <c r="E34" s="21">
        <v>26228.61</v>
      </c>
      <c r="F34" s="17">
        <v>5852.64</v>
      </c>
      <c r="G34" s="21">
        <v>31580.799999999999</v>
      </c>
      <c r="H34" s="14">
        <v>4751.3999999999996</v>
      </c>
      <c r="I34" s="13">
        <v>25759.77</v>
      </c>
      <c r="J34" s="14">
        <v>4057.68</v>
      </c>
      <c r="K34" s="13">
        <v>21728.04</v>
      </c>
      <c r="L34" s="14">
        <v>3223.74</v>
      </c>
      <c r="M34" s="13">
        <v>20599.82</v>
      </c>
      <c r="N34" s="12">
        <v>2743.44</v>
      </c>
      <c r="O34" s="20">
        <v>17890.849999999999</v>
      </c>
      <c r="P34" s="14">
        <v>2439.9</v>
      </c>
      <c r="Q34" s="13">
        <v>15318.18</v>
      </c>
      <c r="R34" s="14">
        <v>2293.8000000000002</v>
      </c>
      <c r="S34" s="13">
        <v>15565.619999999999</v>
      </c>
      <c r="T34" s="12">
        <v>3025.92</v>
      </c>
      <c r="U34" s="7">
        <v>19297.009999999998</v>
      </c>
      <c r="V34" s="12">
        <v>3083.64</v>
      </c>
      <c r="W34" s="7">
        <v>20175.98</v>
      </c>
      <c r="X34" s="12">
        <v>3162.12</v>
      </c>
      <c r="Y34" s="7">
        <v>20677.82</v>
      </c>
      <c r="Z34" s="12">
        <v>5714.46</v>
      </c>
      <c r="AA34" s="7">
        <v>34579.980000000003</v>
      </c>
      <c r="AB34" s="12">
        <f t="shared" si="0"/>
        <v>45206.28</v>
      </c>
      <c r="AC34" s="12">
        <f t="shared" si="1"/>
        <v>269402.48000000004</v>
      </c>
      <c r="AD34">
        <f t="shared" si="2"/>
        <v>5.9594038704357013</v>
      </c>
    </row>
    <row r="35" spans="1:36" ht="15.75" x14ac:dyDescent="0.25">
      <c r="A35" s="19" t="s">
        <v>5</v>
      </c>
      <c r="B35" t="s">
        <v>217</v>
      </c>
      <c r="C35" s="18" t="s">
        <v>3</v>
      </c>
      <c r="D35" s="17">
        <v>1463.42</v>
      </c>
      <c r="E35" s="21">
        <v>7901.83</v>
      </c>
      <c r="F35" s="17">
        <v>2692.55</v>
      </c>
      <c r="G35" s="21">
        <v>14037.2</v>
      </c>
      <c r="H35" s="14">
        <v>2760.27</v>
      </c>
      <c r="I35" s="13">
        <v>14952.26</v>
      </c>
      <c r="J35" s="14">
        <v>3191.49</v>
      </c>
      <c r="K35" s="13">
        <v>17127.14</v>
      </c>
      <c r="L35" s="14">
        <v>3529.39</v>
      </c>
      <c r="M35" s="13">
        <v>21568.57</v>
      </c>
      <c r="N35" s="12">
        <v>3323.1</v>
      </c>
      <c r="O35" s="20">
        <v>21312.560000000001</v>
      </c>
      <c r="P35" s="14">
        <v>4046.33</v>
      </c>
      <c r="Q35" s="13">
        <v>24445.15</v>
      </c>
      <c r="R35" s="14">
        <v>3547.77</v>
      </c>
      <c r="S35" s="13">
        <v>24430.28</v>
      </c>
      <c r="T35" s="12">
        <v>3742.09</v>
      </c>
      <c r="U35" s="7">
        <v>24781.3</v>
      </c>
      <c r="V35" s="12">
        <v>3323.83</v>
      </c>
      <c r="W35" s="7">
        <v>22307.35</v>
      </c>
      <c r="X35" s="12">
        <v>3228.2</v>
      </c>
      <c r="Y35" s="7">
        <v>21315.34</v>
      </c>
      <c r="Z35" s="12">
        <v>4669.01</v>
      </c>
      <c r="AA35" s="7">
        <v>14037.2</v>
      </c>
      <c r="AB35" s="12">
        <f t="shared" si="0"/>
        <v>39517.449999999997</v>
      </c>
      <c r="AC35" s="12">
        <f t="shared" si="1"/>
        <v>228216.18</v>
      </c>
      <c r="AD35">
        <f t="shared" si="2"/>
        <v>5.7750735434599152</v>
      </c>
    </row>
    <row r="36" spans="1:36" ht="15.75" x14ac:dyDescent="0.25">
      <c r="A36" s="19">
        <v>33</v>
      </c>
      <c r="B36" t="s">
        <v>218</v>
      </c>
      <c r="C36" s="18" t="s">
        <v>1</v>
      </c>
      <c r="D36" s="17">
        <v>2900.44</v>
      </c>
      <c r="E36" s="21">
        <v>15661.11</v>
      </c>
      <c r="F36" s="17">
        <v>3025.96</v>
      </c>
      <c r="G36" s="21">
        <v>16040.9</v>
      </c>
      <c r="H36" s="14">
        <v>2906.42</v>
      </c>
      <c r="I36" s="13">
        <v>15747.33</v>
      </c>
      <c r="J36" s="14">
        <v>2452.5100000000002</v>
      </c>
      <c r="K36" s="13">
        <v>13131.38</v>
      </c>
      <c r="L36" s="14">
        <v>2298.91</v>
      </c>
      <c r="M36" s="13">
        <v>14342.99</v>
      </c>
      <c r="N36" s="12">
        <v>1762.75</v>
      </c>
      <c r="O36" s="20">
        <v>14819.91</v>
      </c>
      <c r="P36" s="14">
        <v>2277.7399999999998</v>
      </c>
      <c r="Q36" s="13">
        <v>13676.23</v>
      </c>
      <c r="R36" s="14">
        <v>2014.53</v>
      </c>
      <c r="S36" s="13">
        <v>13846.3</v>
      </c>
      <c r="T36" s="12">
        <v>2040.57</v>
      </c>
      <c r="U36" s="7">
        <v>13616.38</v>
      </c>
      <c r="V36" s="12">
        <v>2215.46</v>
      </c>
      <c r="W36" s="7">
        <v>14340.07</v>
      </c>
      <c r="X36" s="12">
        <v>2039.36</v>
      </c>
      <c r="Y36" s="7">
        <v>13600.76</v>
      </c>
      <c r="Z36" s="12">
        <v>2889.46</v>
      </c>
      <c r="AA36" s="7">
        <v>18057.82</v>
      </c>
      <c r="AB36" s="12">
        <f t="shared" si="0"/>
        <v>28824.109999999997</v>
      </c>
      <c r="AC36" s="12">
        <f t="shared" si="1"/>
        <v>176881.18000000002</v>
      </c>
      <c r="AD36">
        <f t="shared" si="2"/>
        <v>6.1365703919392498</v>
      </c>
    </row>
    <row r="37" spans="1:36" ht="15.75" x14ac:dyDescent="0.25">
      <c r="A37" s="19"/>
      <c r="B37" t="s">
        <v>219</v>
      </c>
      <c r="C37" s="18" t="s">
        <v>0</v>
      </c>
      <c r="D37" s="17">
        <v>408072.9</v>
      </c>
      <c r="E37" s="16">
        <v>1840690.35</v>
      </c>
      <c r="F37" s="17">
        <v>390250.2</v>
      </c>
      <c r="G37" s="16">
        <v>1880259.59</v>
      </c>
      <c r="H37" s="14">
        <v>422125.8</v>
      </c>
      <c r="I37" s="15">
        <v>1875185.53</v>
      </c>
      <c r="J37" s="14">
        <v>426164.69900000002</v>
      </c>
      <c r="K37" s="15">
        <v>2359614.4</v>
      </c>
      <c r="L37" s="14">
        <v>543506.1</v>
      </c>
      <c r="M37" s="13">
        <v>2824326.62</v>
      </c>
      <c r="N37" s="12">
        <v>711783.3</v>
      </c>
      <c r="O37" s="11">
        <v>3636312.81</v>
      </c>
      <c r="P37" s="10">
        <v>980848.8</v>
      </c>
      <c r="Q37" s="9">
        <v>5881606.5800000001</v>
      </c>
      <c r="R37" s="10">
        <v>926138.7</v>
      </c>
      <c r="S37" s="9">
        <v>5316028.43</v>
      </c>
      <c r="T37" s="12">
        <v>710658.6</v>
      </c>
      <c r="U37" s="7">
        <v>3975854.2</v>
      </c>
      <c r="V37" s="12">
        <v>492584.1</v>
      </c>
      <c r="W37" s="7">
        <v>2935631.15</v>
      </c>
      <c r="X37" s="12">
        <v>477693.9</v>
      </c>
      <c r="Y37" s="7">
        <v>2723718.38</v>
      </c>
      <c r="Z37" s="12">
        <v>501119.4</v>
      </c>
      <c r="AA37" s="7">
        <v>3001056.03</v>
      </c>
      <c r="AB37" s="12">
        <f t="shared" si="0"/>
        <v>6990946.4989999998</v>
      </c>
      <c r="AC37" s="12">
        <f t="shared" si="1"/>
        <v>38250284.07</v>
      </c>
      <c r="AD37">
        <f t="shared" si="2"/>
        <v>5.4714027743555764</v>
      </c>
    </row>
    <row r="38" spans="1:36" x14ac:dyDescent="0.25">
      <c r="A38" s="6"/>
      <c r="B38" s="6"/>
      <c r="C38" s="5" t="s">
        <v>115</v>
      </c>
      <c r="D38" s="1">
        <f>SUM(D4:D37)</f>
        <v>1097643.9100000004</v>
      </c>
      <c r="F38" s="1">
        <f>SUM(F4:F37)</f>
        <v>1170294.92</v>
      </c>
      <c r="H38" s="1">
        <f>SUM(H4:H37)</f>
        <v>1049936.6499999999</v>
      </c>
      <c r="J38" s="1">
        <f>SUM(J4:J37)</f>
        <v>987298.549</v>
      </c>
      <c r="L38" s="1">
        <f>SUM(L4:L37)</f>
        <v>1094737.79</v>
      </c>
      <c r="N38" s="4">
        <f>SUM(N4:N37)</f>
        <v>1388593</v>
      </c>
      <c r="P38" s="3">
        <f>SUM(P4:P37)</f>
        <v>1943699.1700000002</v>
      </c>
      <c r="Q38" s="3"/>
      <c r="R38" s="3">
        <f>SUM(R4:R37)</f>
        <v>1868164.6800000002</v>
      </c>
      <c r="S38" s="3"/>
      <c r="T38" s="3">
        <f>SUM(T4:T37)</f>
        <v>1454186.98</v>
      </c>
      <c r="U38" s="3"/>
      <c r="V38" s="3">
        <f>SUM(V4:V37)</f>
        <v>1060454.04</v>
      </c>
      <c r="W38" s="3"/>
      <c r="X38" s="3">
        <f>SUM(X4:X37)</f>
        <v>1060010.9699999997</v>
      </c>
      <c r="Y38" s="3"/>
      <c r="Z38" s="3">
        <f>SUM(Z4:Z37)</f>
        <v>1334675.5</v>
      </c>
      <c r="AA38" s="3"/>
      <c r="AB38" s="3">
        <f>SUM(AB4:AB37)-AB15+AD15</f>
        <v>15303827.561797727</v>
      </c>
      <c r="AC38" s="8"/>
    </row>
    <row r="39" spans="1:36" ht="15.75" x14ac:dyDescent="0.25">
      <c r="C39" s="2" t="s">
        <v>116</v>
      </c>
      <c r="E39" s="1">
        <f>SUM(E4:E37)</f>
        <v>5420647.5500000007</v>
      </c>
      <c r="G39" s="1">
        <f>SUM(G4:G37)</f>
        <v>5848444.1500000004</v>
      </c>
      <c r="I39" s="1">
        <f>SUM(I4:I37)</f>
        <v>4958116.8</v>
      </c>
      <c r="K39" s="1">
        <f>SUM(K4:K37)</f>
        <v>5217625.1500000004</v>
      </c>
      <c r="M39" s="1">
        <f>SUM(M4:M37)</f>
        <v>6073909.0500000007</v>
      </c>
      <c r="O39" s="1">
        <f>SUM(O4:O37)</f>
        <v>7631801.4500000002</v>
      </c>
      <c r="Q39" s="1">
        <f>SUM(Q4:Q37)</f>
        <v>11309154.83</v>
      </c>
      <c r="S39" s="1">
        <f>SUM(S4:S37)</f>
        <v>11327677.91</v>
      </c>
      <c r="U39" s="1">
        <f>SUM(U4:U37)</f>
        <v>8958604.8299999982</v>
      </c>
      <c r="W39" s="1">
        <f>SUM(W4:W37)</f>
        <v>6741784.6699999999</v>
      </c>
      <c r="Y39" s="1">
        <f>SUM(Y4:Y37)</f>
        <v>6335652.3300000001</v>
      </c>
      <c r="AA39" s="1">
        <f>SUM(AA4:AA37)</f>
        <v>7959250.5399999991</v>
      </c>
      <c r="AC39" s="1">
        <f>SUM(AC4:AC37)</f>
        <v>87782669.25999999</v>
      </c>
      <c r="AD39" t="s">
        <v>119</v>
      </c>
    </row>
    <row r="40" spans="1:36" x14ac:dyDescent="0.25">
      <c r="AC40" s="29" t="s">
        <v>97</v>
      </c>
      <c r="AD40">
        <f>AC39/AB38</f>
        <v>5.7359944043755444</v>
      </c>
    </row>
    <row r="41" spans="1:36" ht="21" x14ac:dyDescent="0.35">
      <c r="A41" s="34"/>
    </row>
    <row r="43" spans="1:36" x14ac:dyDescent="0.25">
      <c r="D43" s="16">
        <f>D38-D37</f>
        <v>689571.01000000036</v>
      </c>
      <c r="E43" s="16"/>
      <c r="F43" s="16">
        <f t="shared" ref="F43:X43" si="3">F38-F37</f>
        <v>780044.72</v>
      </c>
      <c r="G43" s="16"/>
      <c r="H43" s="16">
        <f t="shared" si="3"/>
        <v>627810.84999999986</v>
      </c>
      <c r="I43" s="16"/>
      <c r="J43" s="16">
        <f t="shared" si="3"/>
        <v>561133.85</v>
      </c>
      <c r="K43" s="16"/>
      <c r="L43" s="16">
        <f t="shared" si="3"/>
        <v>551231.69000000006</v>
      </c>
      <c r="M43" s="16"/>
      <c r="N43" s="16">
        <f t="shared" si="3"/>
        <v>676809.7</v>
      </c>
      <c r="O43" s="16"/>
      <c r="P43" s="16">
        <f t="shared" si="3"/>
        <v>962850.37000000011</v>
      </c>
      <c r="Q43" s="16"/>
      <c r="R43" s="16">
        <f t="shared" si="3"/>
        <v>942025.98000000021</v>
      </c>
      <c r="S43" s="16"/>
      <c r="T43" s="16">
        <f t="shared" si="3"/>
        <v>743528.38</v>
      </c>
      <c r="U43" s="16"/>
      <c r="V43" s="16">
        <f t="shared" si="3"/>
        <v>567869.94000000006</v>
      </c>
      <c r="W43" s="16"/>
      <c r="X43" s="16">
        <f t="shared" si="3"/>
        <v>582317.06999999972</v>
      </c>
      <c r="Y43" s="16"/>
      <c r="Z43" s="16"/>
      <c r="AA43" s="16"/>
      <c r="AB43" s="16"/>
      <c r="AC43" s="16"/>
    </row>
    <row r="45" spans="1:36" x14ac:dyDescent="0.25">
      <c r="AD45" s="16"/>
    </row>
    <row r="46" spans="1:36" x14ac:dyDescent="0.25">
      <c r="AD46" s="16"/>
    </row>
    <row r="76" spans="29:29" x14ac:dyDescent="0.25">
      <c r="AC76" s="1">
        <f>SUM(AC41:AC74)</f>
        <v>0</v>
      </c>
    </row>
  </sheetData>
  <mergeCells count="14">
    <mergeCell ref="V1:W1"/>
    <mergeCell ref="X1:Y1"/>
    <mergeCell ref="Z1:AA1"/>
    <mergeCell ref="AB2:AC2"/>
    <mergeCell ref="L1:M1"/>
    <mergeCell ref="N1:O1"/>
    <mergeCell ref="P1:Q1"/>
    <mergeCell ref="R1:S1"/>
    <mergeCell ref="T1:U1"/>
    <mergeCell ref="D1:E1"/>
    <mergeCell ref="F1:G1"/>
    <mergeCell ref="H1:I1"/>
    <mergeCell ref="J1:K1"/>
    <mergeCell ref="A1:C2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37"/>
  <sheetViews>
    <sheetView tabSelected="1" workbookViewId="0">
      <pane xSplit="5" topLeftCell="F1" activePane="topRight" state="frozen"/>
      <selection pane="topRight" activeCell="E31" sqref="E31"/>
    </sheetView>
  </sheetViews>
  <sheetFormatPr defaultRowHeight="15" x14ac:dyDescent="0.25"/>
  <cols>
    <col min="3" max="3" width="13.140625" bestFit="1" customWidth="1"/>
    <col min="4" max="4" width="13.28515625" bestFit="1" customWidth="1"/>
    <col min="5" max="5" width="41" bestFit="1" customWidth="1"/>
    <col min="6" max="6" width="11.28515625" bestFit="1" customWidth="1"/>
    <col min="7" max="7" width="13.140625" bestFit="1" customWidth="1"/>
    <col min="8" max="8" width="11.28515625" bestFit="1" customWidth="1"/>
    <col min="9" max="9" width="13.140625" bestFit="1" customWidth="1"/>
    <col min="10" max="10" width="11.28515625" bestFit="1" customWidth="1"/>
    <col min="11" max="11" width="13.140625" bestFit="1" customWidth="1"/>
    <col min="12" max="12" width="10" bestFit="1" customWidth="1"/>
    <col min="13" max="13" width="13.140625" bestFit="1" customWidth="1"/>
    <col min="14" max="14" width="11.28515625" bestFit="1" customWidth="1"/>
    <col min="15" max="15" width="13.140625" bestFit="1" customWidth="1"/>
    <col min="16" max="16" width="11.28515625" bestFit="1" customWidth="1"/>
    <col min="17" max="17" width="13.140625" bestFit="1" customWidth="1"/>
    <col min="18" max="18" width="11.28515625" bestFit="1" customWidth="1"/>
    <col min="19" max="19" width="13.140625" bestFit="1" customWidth="1"/>
    <col min="20" max="20" width="11.28515625" bestFit="1" customWidth="1"/>
    <col min="21" max="21" width="13.140625" bestFit="1" customWidth="1"/>
    <col min="22" max="22" width="11.28515625" bestFit="1" customWidth="1"/>
    <col min="23" max="23" width="13.140625" bestFit="1" customWidth="1"/>
    <col min="24" max="24" width="11.28515625" bestFit="1" customWidth="1"/>
    <col min="25" max="25" width="13.140625" bestFit="1" customWidth="1"/>
    <col min="26" max="26" width="11.28515625" bestFit="1" customWidth="1"/>
    <col min="27" max="27" width="13.140625" bestFit="1" customWidth="1"/>
    <col min="28" max="28" width="11.28515625" bestFit="1" customWidth="1"/>
    <col min="29" max="29" width="13.140625" bestFit="1" customWidth="1"/>
    <col min="30" max="31" width="12.5703125" bestFit="1" customWidth="1"/>
  </cols>
  <sheetData>
    <row r="1" spans="1:31" ht="18.75" x14ac:dyDescent="0.25">
      <c r="A1" s="85" t="s">
        <v>222</v>
      </c>
      <c r="B1" s="85"/>
      <c r="C1" s="85"/>
      <c r="D1" s="85"/>
      <c r="E1" s="87"/>
      <c r="F1" s="38">
        <v>45292</v>
      </c>
      <c r="G1" s="39"/>
      <c r="H1" s="38">
        <v>45323</v>
      </c>
      <c r="I1" s="39"/>
      <c r="J1" s="38">
        <v>45352</v>
      </c>
      <c r="K1" s="39"/>
      <c r="L1" s="38">
        <v>45383</v>
      </c>
      <c r="M1" s="39"/>
      <c r="N1" s="38">
        <v>45413</v>
      </c>
      <c r="O1" s="39"/>
      <c r="P1" s="38">
        <v>45444</v>
      </c>
      <c r="Q1" s="39"/>
      <c r="R1" s="38">
        <v>45474</v>
      </c>
      <c r="S1" s="39"/>
      <c r="T1" s="38">
        <v>45505</v>
      </c>
      <c r="U1" s="39"/>
      <c r="V1" s="38">
        <v>45536</v>
      </c>
      <c r="W1" s="39"/>
      <c r="X1" s="38">
        <v>45566</v>
      </c>
      <c r="Y1" s="39"/>
      <c r="Z1" s="38">
        <v>45597</v>
      </c>
      <c r="AA1" s="39"/>
      <c r="AB1" s="38">
        <v>45627</v>
      </c>
      <c r="AC1" s="40"/>
      <c r="AD1" t="s">
        <v>97</v>
      </c>
    </row>
    <row r="2" spans="1:31" ht="15.75" x14ac:dyDescent="0.25">
      <c r="A2" s="31" t="s">
        <v>100</v>
      </c>
      <c r="B2" s="30" t="s">
        <v>123</v>
      </c>
      <c r="C2" s="30" t="s">
        <v>124</v>
      </c>
      <c r="D2" s="41"/>
      <c r="E2" s="30" t="s">
        <v>98</v>
      </c>
      <c r="F2" s="42" t="s">
        <v>125</v>
      </c>
      <c r="G2" s="2" t="s">
        <v>126</v>
      </c>
      <c r="H2" s="42" t="s">
        <v>125</v>
      </c>
      <c r="I2" s="2" t="s">
        <v>126</v>
      </c>
      <c r="J2" s="42" t="s">
        <v>125</v>
      </c>
      <c r="K2" s="2" t="s">
        <v>126</v>
      </c>
      <c r="L2" s="42" t="s">
        <v>125</v>
      </c>
      <c r="M2" t="s">
        <v>126</v>
      </c>
      <c r="N2" s="42" t="s">
        <v>125</v>
      </c>
      <c r="O2" t="s">
        <v>126</v>
      </c>
      <c r="P2" s="42" t="s">
        <v>125</v>
      </c>
      <c r="Q2" t="s">
        <v>126</v>
      </c>
      <c r="R2" s="42" t="s">
        <v>125</v>
      </c>
      <c r="S2" t="s">
        <v>126</v>
      </c>
      <c r="T2" s="42" t="s">
        <v>125</v>
      </c>
      <c r="U2" t="s">
        <v>126</v>
      </c>
      <c r="V2" s="42" t="s">
        <v>125</v>
      </c>
      <c r="W2" t="s">
        <v>126</v>
      </c>
      <c r="X2" s="42" t="s">
        <v>125</v>
      </c>
      <c r="Y2" t="s">
        <v>126</v>
      </c>
      <c r="Z2" s="42" t="s">
        <v>125</v>
      </c>
      <c r="AA2" t="s">
        <v>126</v>
      </c>
      <c r="AB2" s="42" t="s">
        <v>125</v>
      </c>
      <c r="AC2" t="s">
        <v>126</v>
      </c>
      <c r="AD2" s="43" t="s">
        <v>114</v>
      </c>
      <c r="AE2" t="s">
        <v>101</v>
      </c>
    </row>
    <row r="3" spans="1:31" ht="15.75" x14ac:dyDescent="0.25">
      <c r="A3" s="19" t="s">
        <v>96</v>
      </c>
      <c r="B3" s="44" t="s">
        <v>127</v>
      </c>
      <c r="C3" s="44">
        <v>18880402</v>
      </c>
      <c r="D3" s="90" t="s">
        <v>186</v>
      </c>
      <c r="E3" s="45" t="s">
        <v>128</v>
      </c>
      <c r="F3" s="46">
        <v>67490.28</v>
      </c>
      <c r="G3" s="7">
        <v>295967</v>
      </c>
      <c r="H3" s="47">
        <v>64164.824999999997</v>
      </c>
      <c r="I3" s="48">
        <v>309338.78999999998</v>
      </c>
      <c r="J3" s="49">
        <v>70532.054999999993</v>
      </c>
      <c r="K3" s="50">
        <v>308516.75</v>
      </c>
      <c r="L3" s="49">
        <v>61766.73</v>
      </c>
      <c r="M3" s="51">
        <v>264380.28000000003</v>
      </c>
      <c r="N3" s="52">
        <v>66856.86</v>
      </c>
      <c r="O3" s="51">
        <v>286167.57</v>
      </c>
      <c r="P3" s="52">
        <v>44642.654999999999</v>
      </c>
      <c r="Q3" s="53">
        <v>191084.07</v>
      </c>
      <c r="R3" s="54">
        <v>45791.504999999997</v>
      </c>
      <c r="S3" s="22">
        <v>240972.83</v>
      </c>
      <c r="T3" s="54">
        <v>39899.25</v>
      </c>
      <c r="U3" s="22">
        <v>209965.46</v>
      </c>
      <c r="V3" s="54">
        <v>57458.025000000001</v>
      </c>
      <c r="W3" s="7">
        <v>302366.62</v>
      </c>
      <c r="X3" s="54">
        <v>56128.05</v>
      </c>
      <c r="Y3" s="7">
        <v>295367.78000000003</v>
      </c>
      <c r="Z3" s="55">
        <v>69459.884999999995</v>
      </c>
      <c r="AA3" s="53">
        <v>365525.11</v>
      </c>
      <c r="AB3" s="55">
        <v>71501.94</v>
      </c>
      <c r="AC3" s="53">
        <v>376271.2</v>
      </c>
      <c r="AD3" s="16">
        <f>F3+H3+J3+L3+N3+P3+R3+T3+V3+X3+Z3+AB3</f>
        <v>715692.06</v>
      </c>
      <c r="AE3" s="16">
        <f>G3+I3+K3+M3+O3+Q3+S3+U3+W3+Y3+AA3+AC3</f>
        <v>3445923.4600000004</v>
      </c>
    </row>
    <row r="4" spans="1:31" ht="15.75" x14ac:dyDescent="0.25">
      <c r="A4" s="19" t="s">
        <v>93</v>
      </c>
      <c r="B4" s="44" t="s">
        <v>127</v>
      </c>
      <c r="C4" s="44">
        <v>18880238</v>
      </c>
      <c r="D4" s="90" t="s">
        <v>187</v>
      </c>
      <c r="E4" s="45" t="s">
        <v>129</v>
      </c>
      <c r="F4" s="46">
        <v>18951.54</v>
      </c>
      <c r="G4" s="7">
        <v>83109</v>
      </c>
      <c r="H4" s="47">
        <v>18594.12</v>
      </c>
      <c r="I4" s="48">
        <v>81541.279999999999</v>
      </c>
      <c r="J4" s="49">
        <v>16235.7</v>
      </c>
      <c r="K4" s="51">
        <v>71198.850000000006</v>
      </c>
      <c r="L4" s="49">
        <v>8400.06</v>
      </c>
      <c r="M4" s="51">
        <v>35954.81</v>
      </c>
      <c r="N4" s="52">
        <v>9657.24</v>
      </c>
      <c r="O4" s="51">
        <v>41335.919999999998</v>
      </c>
      <c r="P4" s="52">
        <v>7900.5</v>
      </c>
      <c r="Q4" s="53">
        <v>33816.53</v>
      </c>
      <c r="R4" s="54">
        <v>7900.5</v>
      </c>
      <c r="S4" s="22">
        <v>33816.53</v>
      </c>
      <c r="T4" s="54">
        <v>8964.48</v>
      </c>
      <c r="U4" s="22">
        <v>47174.59</v>
      </c>
      <c r="V4" s="54">
        <v>8596.02</v>
      </c>
      <c r="W4" s="7">
        <v>45235.62</v>
      </c>
      <c r="X4" s="54">
        <v>10347.24</v>
      </c>
      <c r="Y4" s="7">
        <v>54451.22</v>
      </c>
      <c r="Z4" s="55">
        <v>19183.38</v>
      </c>
      <c r="AA4" s="53">
        <v>100950.45</v>
      </c>
      <c r="AB4" s="55">
        <v>21173.34</v>
      </c>
      <c r="AC4" s="53">
        <v>111422.41</v>
      </c>
      <c r="AD4" s="16">
        <f t="shared" ref="AD4:AE37" si="0">F4+H4+J4+L4+N4+P4+R4+T4+V4+X4+Z4+AB4</f>
        <v>155904.12</v>
      </c>
      <c r="AE4" s="16">
        <f t="shared" si="0"/>
        <v>740007.21</v>
      </c>
    </row>
    <row r="5" spans="1:31" ht="15.75" x14ac:dyDescent="0.25">
      <c r="A5" s="19" t="s">
        <v>90</v>
      </c>
      <c r="B5" s="44" t="s">
        <v>127</v>
      </c>
      <c r="C5" s="44">
        <v>18880668</v>
      </c>
      <c r="D5" s="90" t="s">
        <v>188</v>
      </c>
      <c r="E5" s="45" t="s">
        <v>130</v>
      </c>
      <c r="F5" s="46">
        <v>4476.4040000000005</v>
      </c>
      <c r="G5" s="7">
        <v>19597</v>
      </c>
      <c r="H5" s="47">
        <v>4440.518</v>
      </c>
      <c r="I5" s="48">
        <v>21795.35</v>
      </c>
      <c r="J5" s="49">
        <f>930+3794.083</f>
        <v>4724.0830000000005</v>
      </c>
      <c r="K5" s="56">
        <v>20740.38</v>
      </c>
      <c r="L5" s="49">
        <f>900+1516.38</f>
        <v>2416.38</v>
      </c>
      <c r="M5" s="56">
        <v>10886.14</v>
      </c>
      <c r="N5" s="52">
        <f>930+2396.351</f>
        <v>3326.3510000000001</v>
      </c>
      <c r="O5" s="56">
        <v>14286.19</v>
      </c>
      <c r="P5" s="57">
        <f>900.001+1217.78</f>
        <v>2117.7809999999999</v>
      </c>
      <c r="Q5" s="53">
        <v>9465.31</v>
      </c>
      <c r="R5" s="54">
        <f>900.001+1217.78</f>
        <v>2117.7809999999999</v>
      </c>
      <c r="S5" s="22">
        <v>9465.31</v>
      </c>
      <c r="T5" s="54">
        <f>929.999+1688.977</f>
        <v>2618.9760000000001</v>
      </c>
      <c r="U5" s="22">
        <v>13803.52</v>
      </c>
      <c r="V5" s="54">
        <f>900+1636.439</f>
        <v>2536.4390000000003</v>
      </c>
      <c r="W5" s="7">
        <v>13369.03</v>
      </c>
      <c r="X5" s="54">
        <f>930+2639.06</f>
        <v>3569.06</v>
      </c>
      <c r="Y5" s="7">
        <v>19068.07</v>
      </c>
      <c r="Z5" s="28">
        <f>900+3885.658</f>
        <v>4785.6579999999994</v>
      </c>
      <c r="AA5" s="53">
        <v>25832.240000000002</v>
      </c>
      <c r="AB5" s="55">
        <f>930.001+5271.581</f>
        <v>6201.5820000000003</v>
      </c>
      <c r="AC5" s="53">
        <v>33665.21</v>
      </c>
      <c r="AD5" s="16">
        <f t="shared" si="0"/>
        <v>43331.012999999999</v>
      </c>
      <c r="AE5" s="16">
        <f t="shared" si="0"/>
        <v>211973.75</v>
      </c>
    </row>
    <row r="6" spans="1:31" ht="15.75" x14ac:dyDescent="0.25">
      <c r="A6" s="19" t="s">
        <v>87</v>
      </c>
      <c r="B6" s="44" t="s">
        <v>127</v>
      </c>
      <c r="C6" s="44">
        <v>18880891</v>
      </c>
      <c r="D6" s="90" t="s">
        <v>189</v>
      </c>
      <c r="E6" s="45" t="s">
        <v>131</v>
      </c>
      <c r="F6" s="46">
        <v>14275.754999999999</v>
      </c>
      <c r="G6" s="7">
        <v>62604</v>
      </c>
      <c r="H6" s="47">
        <v>9583.0650000000005</v>
      </c>
      <c r="I6" s="48">
        <v>42024.87</v>
      </c>
      <c r="J6" s="49">
        <v>9225.99</v>
      </c>
      <c r="K6" s="56">
        <v>40458.97</v>
      </c>
      <c r="L6" s="49">
        <v>7596.9</v>
      </c>
      <c r="M6" s="56">
        <v>32517.03</v>
      </c>
      <c r="N6" s="52">
        <v>7689.0150000000003</v>
      </c>
      <c r="O6" s="56">
        <v>32911.32</v>
      </c>
      <c r="P6" s="52">
        <v>11623.05</v>
      </c>
      <c r="Q6" s="53">
        <v>49750.17</v>
      </c>
      <c r="R6" s="54">
        <v>11623.05</v>
      </c>
      <c r="S6" s="22">
        <v>49750.17</v>
      </c>
      <c r="T6" s="54">
        <v>23323.724999999999</v>
      </c>
      <c r="U6" s="22">
        <v>122738.58</v>
      </c>
      <c r="V6" s="54">
        <f>15484.635</f>
        <v>15484.635</v>
      </c>
      <c r="W6" s="7">
        <v>81486.210000000006</v>
      </c>
      <c r="X6" s="54">
        <f>11300.13</f>
        <v>11300.13</v>
      </c>
      <c r="Y6" s="7">
        <v>59465.71</v>
      </c>
      <c r="Z6" s="55">
        <v>10463.859</v>
      </c>
      <c r="AA6" s="53">
        <v>55064.88</v>
      </c>
      <c r="AB6" s="55">
        <v>9769.3649999999998</v>
      </c>
      <c r="AC6" s="53">
        <v>51410.23</v>
      </c>
      <c r="AD6" s="16">
        <f t="shared" si="0"/>
        <v>141958.53899999999</v>
      </c>
      <c r="AE6" s="16">
        <f t="shared" si="0"/>
        <v>680182.14</v>
      </c>
    </row>
    <row r="7" spans="1:31" ht="15.75" x14ac:dyDescent="0.25">
      <c r="A7" s="19" t="s">
        <v>84</v>
      </c>
      <c r="B7" s="44" t="s">
        <v>127</v>
      </c>
      <c r="C7" s="44">
        <v>16132591</v>
      </c>
      <c r="D7" s="90" t="s">
        <v>190</v>
      </c>
      <c r="E7" s="45" t="s">
        <v>132</v>
      </c>
      <c r="F7" s="46">
        <v>44680.95</v>
      </c>
      <c r="G7" s="7">
        <v>195940.57</v>
      </c>
      <c r="H7" s="47">
        <v>35125.83</v>
      </c>
      <c r="I7" s="48">
        <v>154038.24</v>
      </c>
      <c r="J7" s="58">
        <v>35704.394999999997</v>
      </c>
      <c r="K7" s="59">
        <v>156575.42000000001</v>
      </c>
      <c r="L7" s="49">
        <v>17720.235000000001</v>
      </c>
      <c r="M7" s="60">
        <v>75847.960000000006</v>
      </c>
      <c r="N7" s="61">
        <v>17004.014999999999</v>
      </c>
      <c r="O7" s="60">
        <v>78704.41</v>
      </c>
      <c r="P7" s="52">
        <v>24073.064999999999</v>
      </c>
      <c r="Q7" s="53">
        <v>103040</v>
      </c>
      <c r="R7" s="54">
        <v>24073.064999999999</v>
      </c>
      <c r="S7" s="22">
        <v>103040</v>
      </c>
      <c r="T7" s="54">
        <v>25712.505000000001</v>
      </c>
      <c r="U7" s="22">
        <v>150767.85</v>
      </c>
      <c r="V7" s="54">
        <v>19426.95</v>
      </c>
      <c r="W7" s="7">
        <v>112035.51</v>
      </c>
      <c r="X7" s="54">
        <v>20600.64</v>
      </c>
      <c r="Y7" s="7">
        <v>115984.01</v>
      </c>
      <c r="Z7" s="55">
        <v>26384.22</v>
      </c>
      <c r="AA7" s="53">
        <v>138844.09</v>
      </c>
      <c r="AB7" s="55">
        <v>29968.424999999999</v>
      </c>
      <c r="AC7" s="53">
        <v>157705.60999999999</v>
      </c>
      <c r="AD7" s="16">
        <f t="shared" si="0"/>
        <v>320474.29499999998</v>
      </c>
      <c r="AE7" s="16">
        <f t="shared" si="0"/>
        <v>1542523.67</v>
      </c>
    </row>
    <row r="8" spans="1:31" ht="15.75" x14ac:dyDescent="0.25">
      <c r="A8" s="19" t="s">
        <v>81</v>
      </c>
      <c r="B8" s="44" t="s">
        <v>127</v>
      </c>
      <c r="C8" s="44">
        <v>18881391</v>
      </c>
      <c r="D8" s="90" t="s">
        <v>191</v>
      </c>
      <c r="E8" s="45" t="s">
        <v>133</v>
      </c>
      <c r="F8" s="46">
        <v>47748.69</v>
      </c>
      <c r="G8" s="7">
        <v>209393</v>
      </c>
      <c r="H8" s="47">
        <v>43687.35</v>
      </c>
      <c r="I8" s="48">
        <v>189967.82</v>
      </c>
      <c r="J8" s="49">
        <v>44649.9</v>
      </c>
      <c r="K8" s="56">
        <v>193992.43</v>
      </c>
      <c r="L8" s="49">
        <v>31008.6</v>
      </c>
      <c r="M8" s="56">
        <v>133725.95000000001</v>
      </c>
      <c r="N8" s="52">
        <v>34279.199999999997</v>
      </c>
      <c r="O8" s="56">
        <v>170355.08</v>
      </c>
      <c r="P8" s="52">
        <v>41638.050000000003</v>
      </c>
      <c r="Q8" s="53">
        <v>194089.22</v>
      </c>
      <c r="R8" s="54">
        <v>41638.050000000003</v>
      </c>
      <c r="S8" s="22">
        <v>194089.22</v>
      </c>
      <c r="T8" s="54">
        <v>53683.38</v>
      </c>
      <c r="U8" s="22">
        <v>311278.83</v>
      </c>
      <c r="V8" s="54">
        <v>39746.07</v>
      </c>
      <c r="W8" s="7">
        <v>235643.76</v>
      </c>
      <c r="X8" s="54">
        <v>33513.300000000003</v>
      </c>
      <c r="Y8" s="7">
        <v>213355.12</v>
      </c>
      <c r="Z8" s="55">
        <v>43060.14</v>
      </c>
      <c r="AA8" s="53">
        <v>246572.34</v>
      </c>
      <c r="AB8" s="55">
        <v>48005.37</v>
      </c>
      <c r="AC8" s="53">
        <v>252623.05</v>
      </c>
      <c r="AD8" s="16">
        <f t="shared" si="0"/>
        <v>502658.1</v>
      </c>
      <c r="AE8" s="16">
        <f t="shared" si="0"/>
        <v>2545085.8199999998</v>
      </c>
    </row>
    <row r="9" spans="1:31" ht="15.75" x14ac:dyDescent="0.25">
      <c r="A9" s="19" t="s">
        <v>78</v>
      </c>
      <c r="B9" s="44" t="s">
        <v>127</v>
      </c>
      <c r="C9" s="44">
        <v>18881438</v>
      </c>
      <c r="D9" s="90" t="s">
        <v>192</v>
      </c>
      <c r="E9" s="45" t="s">
        <v>134</v>
      </c>
      <c r="F9" s="46">
        <v>26213</v>
      </c>
      <c r="G9" s="7">
        <v>114953</v>
      </c>
      <c r="H9" s="47">
        <v>23395.14</v>
      </c>
      <c r="I9" s="48">
        <v>102595.33</v>
      </c>
      <c r="J9" s="49">
        <v>22855.56</v>
      </c>
      <c r="K9" s="51">
        <v>100229.1</v>
      </c>
      <c r="L9" s="49">
        <v>13344.6</v>
      </c>
      <c r="M9" s="51">
        <v>62180.800000000003</v>
      </c>
      <c r="N9" s="52">
        <v>14178.12</v>
      </c>
      <c r="O9" s="51">
        <v>64998.47</v>
      </c>
      <c r="P9" s="52">
        <v>25013.88</v>
      </c>
      <c r="Q9" s="53">
        <v>107066.96</v>
      </c>
      <c r="R9" s="54">
        <v>25013.88</v>
      </c>
      <c r="S9" s="22">
        <v>107066.96</v>
      </c>
      <c r="T9" s="54">
        <v>33948</v>
      </c>
      <c r="U9" s="22">
        <v>178647.66</v>
      </c>
      <c r="V9" s="54">
        <v>32013.24</v>
      </c>
      <c r="W9" s="7">
        <v>168466.19</v>
      </c>
      <c r="X9" s="54">
        <v>18053.16</v>
      </c>
      <c r="Y9" s="7">
        <v>105311.76</v>
      </c>
      <c r="Z9" s="55">
        <v>23349.599999999999</v>
      </c>
      <c r="AA9" s="53">
        <v>122874.73</v>
      </c>
      <c r="AB9" s="55">
        <v>31324.62</v>
      </c>
      <c r="AC9" s="53">
        <v>164842.4</v>
      </c>
      <c r="AD9" s="16">
        <f t="shared" si="0"/>
        <v>288702.8</v>
      </c>
      <c r="AE9" s="16">
        <f t="shared" si="0"/>
        <v>1399233.3599999999</v>
      </c>
    </row>
    <row r="10" spans="1:31" ht="15.75" x14ac:dyDescent="0.25">
      <c r="A10" s="19" t="s">
        <v>76</v>
      </c>
      <c r="B10" s="44" t="s">
        <v>127</v>
      </c>
      <c r="C10" s="44">
        <v>18881483</v>
      </c>
      <c r="D10" s="90" t="s">
        <v>193</v>
      </c>
      <c r="E10" s="45" t="s">
        <v>135</v>
      </c>
      <c r="F10" s="46">
        <v>6226.16</v>
      </c>
      <c r="G10" s="7">
        <v>29849</v>
      </c>
      <c r="H10" s="47">
        <v>5813.92</v>
      </c>
      <c r="I10" s="48">
        <v>27876.639999999999</v>
      </c>
      <c r="J10" s="49">
        <v>5436.16</v>
      </c>
      <c r="K10" s="56">
        <v>26384.23</v>
      </c>
      <c r="L10" s="49">
        <v>2074.56</v>
      </c>
      <c r="M10" s="56">
        <v>11283.56</v>
      </c>
      <c r="N10" s="52">
        <v>2191.1999999999998</v>
      </c>
      <c r="O10" s="56">
        <v>12519.91</v>
      </c>
      <c r="P10" s="52">
        <v>1236.8</v>
      </c>
      <c r="Q10" s="53">
        <v>8222.57</v>
      </c>
      <c r="R10" s="54">
        <v>1236.8</v>
      </c>
      <c r="S10" s="22">
        <v>8222.57</v>
      </c>
      <c r="T10" s="54">
        <v>1154.8</v>
      </c>
      <c r="U10" s="22">
        <v>10175.65</v>
      </c>
      <c r="V10" s="54">
        <v>1592.32</v>
      </c>
      <c r="W10" s="7">
        <v>12350.43</v>
      </c>
      <c r="X10" s="54">
        <v>2559.2800000000002</v>
      </c>
      <c r="Y10" s="7">
        <v>16521.8</v>
      </c>
      <c r="Z10" s="55">
        <v>5732.96</v>
      </c>
      <c r="AA10" s="53">
        <v>33124.43</v>
      </c>
      <c r="AB10" s="55">
        <v>9545.1200000000008</v>
      </c>
      <c r="AC10" s="53">
        <v>53284.04</v>
      </c>
      <c r="AD10" s="16">
        <f t="shared" si="0"/>
        <v>44800.08</v>
      </c>
      <c r="AE10" s="16">
        <f t="shared" si="0"/>
        <v>249814.83</v>
      </c>
    </row>
    <row r="11" spans="1:31" ht="15.75" x14ac:dyDescent="0.25">
      <c r="A11" s="19" t="s">
        <v>73</v>
      </c>
      <c r="B11" s="44" t="s">
        <v>127</v>
      </c>
      <c r="C11" s="44">
        <v>18881527</v>
      </c>
      <c r="D11" s="90" t="s">
        <v>194</v>
      </c>
      <c r="E11" s="45" t="s">
        <v>136</v>
      </c>
      <c r="F11" s="46">
        <v>53236.95</v>
      </c>
      <c r="G11" s="7">
        <v>233462</v>
      </c>
      <c r="H11" s="47">
        <v>43140.525000000001</v>
      </c>
      <c r="I11" s="48">
        <v>189185.39</v>
      </c>
      <c r="J11" s="49">
        <v>42619.574999999997</v>
      </c>
      <c r="K11" s="56">
        <v>186900.77</v>
      </c>
      <c r="L11" s="49">
        <v>28495.275000000001</v>
      </c>
      <c r="M11" s="56">
        <v>121968.39</v>
      </c>
      <c r="N11" s="52">
        <v>44216.925000000003</v>
      </c>
      <c r="O11" s="56">
        <v>189261.82</v>
      </c>
      <c r="P11" s="52">
        <v>73133.100000000006</v>
      </c>
      <c r="Q11" s="53">
        <v>313031.8</v>
      </c>
      <c r="R11" s="54">
        <v>73133.100000000006</v>
      </c>
      <c r="S11" s="22">
        <v>313031.8</v>
      </c>
      <c r="T11" s="54">
        <v>83157.074999999997</v>
      </c>
      <c r="U11" s="22">
        <v>437605.08</v>
      </c>
      <c r="V11" s="54">
        <v>88554.6</v>
      </c>
      <c r="W11" s="7">
        <v>466009.97</v>
      </c>
      <c r="X11" s="54">
        <f>67821.825</f>
        <v>67821.824999999997</v>
      </c>
      <c r="Y11" s="7">
        <v>356905.01</v>
      </c>
      <c r="Z11" s="55">
        <v>46009.2</v>
      </c>
      <c r="AA11" s="53">
        <v>242118.42</v>
      </c>
      <c r="AB11" s="55">
        <v>52781.55</v>
      </c>
      <c r="AC11" s="53">
        <v>277757.2</v>
      </c>
      <c r="AD11" s="16">
        <f t="shared" si="0"/>
        <v>696299.7</v>
      </c>
      <c r="AE11" s="16">
        <f t="shared" si="0"/>
        <v>3327237.6500000004</v>
      </c>
    </row>
    <row r="12" spans="1:31" ht="15.75" x14ac:dyDescent="0.25">
      <c r="A12" s="19" t="s">
        <v>70</v>
      </c>
      <c r="B12" s="44" t="s">
        <v>127</v>
      </c>
      <c r="C12" s="44">
        <v>18881595</v>
      </c>
      <c r="D12" s="90" t="s">
        <v>195</v>
      </c>
      <c r="E12" s="45" t="s">
        <v>137</v>
      </c>
      <c r="F12" s="46">
        <v>22847.625</v>
      </c>
      <c r="G12" s="7">
        <v>100195</v>
      </c>
      <c r="H12" s="62">
        <v>21099.51</v>
      </c>
      <c r="I12" s="48">
        <v>99810.59</v>
      </c>
      <c r="J12" s="49">
        <v>21167.82</v>
      </c>
      <c r="K12" s="51">
        <v>92827.81</v>
      </c>
      <c r="L12" s="49">
        <v>13894.875</v>
      </c>
      <c r="M12" s="51">
        <v>59474.26</v>
      </c>
      <c r="N12" s="52">
        <v>16843.59</v>
      </c>
      <c r="O12" s="51">
        <v>72095.66</v>
      </c>
      <c r="P12" s="63">
        <v>13693.05</v>
      </c>
      <c r="Q12" s="53">
        <v>58610.39</v>
      </c>
      <c r="R12" s="64">
        <v>13693.05</v>
      </c>
      <c r="S12" s="22">
        <v>58610.39</v>
      </c>
      <c r="T12" s="64">
        <v>13270.77</v>
      </c>
      <c r="U12" s="22">
        <v>69832.98</v>
      </c>
      <c r="V12" s="64">
        <v>15116.174999999999</v>
      </c>
      <c r="W12" s="7">
        <v>79547.22</v>
      </c>
      <c r="X12" s="64">
        <v>18365.04</v>
      </c>
      <c r="Y12" s="7">
        <v>96644.03</v>
      </c>
      <c r="Z12" s="55">
        <v>20444.355</v>
      </c>
      <c r="AA12" s="53">
        <v>107586.19</v>
      </c>
      <c r="AB12" s="55">
        <v>25355.43</v>
      </c>
      <c r="AC12" s="53">
        <v>111191.83</v>
      </c>
      <c r="AD12" s="16">
        <f t="shared" si="0"/>
        <v>215791.28999999998</v>
      </c>
      <c r="AE12" s="16">
        <f t="shared" si="0"/>
        <v>1006426.35</v>
      </c>
    </row>
    <row r="13" spans="1:31" ht="15.75" x14ac:dyDescent="0.25">
      <c r="A13" s="19" t="s">
        <v>67</v>
      </c>
      <c r="B13" s="44" t="s">
        <v>127</v>
      </c>
      <c r="C13" s="44">
        <v>18881665</v>
      </c>
      <c r="D13" s="90" t="s">
        <v>196</v>
      </c>
      <c r="E13" s="45" t="s">
        <v>138</v>
      </c>
      <c r="F13" s="46">
        <v>123930.9</v>
      </c>
      <c r="G13" s="7">
        <v>493829</v>
      </c>
      <c r="H13" s="47">
        <v>109009.65</v>
      </c>
      <c r="I13" s="48">
        <v>440399.15</v>
      </c>
      <c r="J13" s="49">
        <v>110717.4</v>
      </c>
      <c r="K13" s="56">
        <v>481543.43</v>
      </c>
      <c r="L13" s="49">
        <v>79781.25</v>
      </c>
      <c r="M13" s="56">
        <v>310189.3</v>
      </c>
      <c r="N13" s="52">
        <v>94574.85</v>
      </c>
      <c r="O13" s="56">
        <v>444726.44</v>
      </c>
      <c r="P13" s="52">
        <v>172869.15</v>
      </c>
      <c r="Q13" s="53">
        <v>771553.84</v>
      </c>
      <c r="R13" s="54">
        <v>172869.15</v>
      </c>
      <c r="S13" s="22">
        <v>771553.84</v>
      </c>
      <c r="T13" s="54">
        <v>212281.95</v>
      </c>
      <c r="U13" s="22">
        <v>1066462.54</v>
      </c>
      <c r="V13" s="54">
        <v>172251.6</v>
      </c>
      <c r="W13" s="7">
        <v>840096.84</v>
      </c>
      <c r="X13" s="54">
        <v>123575.55</v>
      </c>
      <c r="Y13" s="7">
        <v>610385.21</v>
      </c>
      <c r="Z13" s="55">
        <v>102471.9</v>
      </c>
      <c r="AA13" s="53">
        <v>445240.04</v>
      </c>
      <c r="AB13" s="55">
        <v>116858.4</v>
      </c>
      <c r="AC13" s="53">
        <v>586162.76</v>
      </c>
      <c r="AD13" s="16">
        <f t="shared" si="0"/>
        <v>1591191.75</v>
      </c>
      <c r="AE13" s="16">
        <f t="shared" si="0"/>
        <v>7262142.3899999997</v>
      </c>
    </row>
    <row r="14" spans="1:31" ht="15.75" x14ac:dyDescent="0.25">
      <c r="A14" s="19" t="s">
        <v>64</v>
      </c>
      <c r="B14" s="44" t="s">
        <v>127</v>
      </c>
      <c r="C14" s="44">
        <v>18882355</v>
      </c>
      <c r="D14" s="90" t="s">
        <v>197</v>
      </c>
      <c r="E14" s="45" t="s">
        <v>139</v>
      </c>
      <c r="F14" s="46">
        <v>31608.9</v>
      </c>
      <c r="G14" s="7">
        <v>138615</v>
      </c>
      <c r="H14" s="65">
        <v>29566.5</v>
      </c>
      <c r="I14" s="66">
        <v>150433.97</v>
      </c>
      <c r="J14" s="28">
        <v>27427.5</v>
      </c>
      <c r="K14" s="51">
        <v>132853.81</v>
      </c>
      <c r="L14" s="28">
        <v>15825.15</v>
      </c>
      <c r="M14" s="51">
        <v>72944.31</v>
      </c>
      <c r="N14" s="52">
        <v>15914.85</v>
      </c>
      <c r="O14" s="51">
        <v>73922.570000000007</v>
      </c>
      <c r="P14" s="67">
        <v>26765.1</v>
      </c>
      <c r="Q14" s="53">
        <v>124819.69</v>
      </c>
      <c r="R14" s="64">
        <v>26765.1</v>
      </c>
      <c r="S14" s="22">
        <v>124819.69</v>
      </c>
      <c r="T14" s="68">
        <v>32003.924999999999</v>
      </c>
      <c r="U14" s="22">
        <v>154811.57</v>
      </c>
      <c r="V14" s="68">
        <v>17208.599999999999</v>
      </c>
      <c r="W14" s="7">
        <v>108053.52</v>
      </c>
      <c r="X14" s="68">
        <v>18324.674999999999</v>
      </c>
      <c r="Y14" s="7">
        <v>107587.45</v>
      </c>
      <c r="Z14" s="28">
        <v>24710.625</v>
      </c>
      <c r="AA14" s="53">
        <v>130036.98</v>
      </c>
      <c r="AB14" s="55">
        <v>29958.075000000001</v>
      </c>
      <c r="AC14" s="53">
        <v>131375.93</v>
      </c>
      <c r="AD14" s="16">
        <f t="shared" si="0"/>
        <v>296079</v>
      </c>
      <c r="AE14" s="16">
        <f t="shared" si="0"/>
        <v>1450274.4899999998</v>
      </c>
    </row>
    <row r="15" spans="1:31" ht="15.75" x14ac:dyDescent="0.25">
      <c r="A15" s="19" t="s">
        <v>61</v>
      </c>
      <c r="B15" s="44" t="s">
        <v>127</v>
      </c>
      <c r="C15" s="44">
        <v>18882398</v>
      </c>
      <c r="D15" s="90" t="s">
        <v>198</v>
      </c>
      <c r="E15" s="45" t="s">
        <v>140</v>
      </c>
      <c r="F15" s="46">
        <v>51097.95</v>
      </c>
      <c r="G15" s="20">
        <v>224081</v>
      </c>
      <c r="H15" s="69">
        <v>48587.040000000001</v>
      </c>
      <c r="I15" s="66">
        <v>205615.47</v>
      </c>
      <c r="J15" s="28">
        <v>44217.27</v>
      </c>
      <c r="K15" s="51">
        <v>187850.58</v>
      </c>
      <c r="L15" s="28">
        <v>36941.22</v>
      </c>
      <c r="M15" s="51">
        <v>168712.99</v>
      </c>
      <c r="N15" s="52">
        <v>60675.839999999997</v>
      </c>
      <c r="O15" s="51">
        <v>269510.82</v>
      </c>
      <c r="P15" s="63">
        <v>85085.28</v>
      </c>
      <c r="Q15" s="70">
        <v>369028.23</v>
      </c>
      <c r="R15" s="64">
        <v>85085.28</v>
      </c>
      <c r="S15" s="71">
        <v>369028.23</v>
      </c>
      <c r="T15" s="68">
        <v>102593.34</v>
      </c>
      <c r="U15" s="71">
        <v>537201.82999999996</v>
      </c>
      <c r="V15" s="68">
        <v>95044.05</v>
      </c>
      <c r="W15" s="20">
        <v>499522.8</v>
      </c>
      <c r="X15" s="68">
        <v>71924.22</v>
      </c>
      <c r="Y15" s="20">
        <v>378493.4</v>
      </c>
      <c r="Z15" s="55">
        <v>43999.92</v>
      </c>
      <c r="AA15" s="70">
        <v>231544.81</v>
      </c>
      <c r="AB15" s="55">
        <v>44753.4</v>
      </c>
      <c r="AC15" s="70">
        <v>235509.92</v>
      </c>
      <c r="AD15" s="16">
        <f t="shared" si="0"/>
        <v>770004.81</v>
      </c>
      <c r="AE15" s="16">
        <f t="shared" si="0"/>
        <v>3676100.0799999996</v>
      </c>
    </row>
    <row r="16" spans="1:31" ht="15.75" x14ac:dyDescent="0.25">
      <c r="A16" s="19" t="s">
        <v>58</v>
      </c>
      <c r="B16" s="44" t="s">
        <v>127</v>
      </c>
      <c r="C16" s="44">
        <v>18882438</v>
      </c>
      <c r="D16" s="90" t="s">
        <v>199</v>
      </c>
      <c r="E16" s="45" t="s">
        <v>141</v>
      </c>
      <c r="F16" s="46">
        <v>15838.72</v>
      </c>
      <c r="G16" s="7">
        <v>73112</v>
      </c>
      <c r="H16" s="47">
        <v>12707.68</v>
      </c>
      <c r="I16" s="48">
        <v>64378.53</v>
      </c>
      <c r="J16" s="49">
        <v>12919.52</v>
      </c>
      <c r="K16" s="51">
        <v>60310.52</v>
      </c>
      <c r="L16" s="49">
        <v>10700.96</v>
      </c>
      <c r="M16" s="51">
        <v>52462.63</v>
      </c>
      <c r="N16" s="52">
        <v>10527.84</v>
      </c>
      <c r="O16" s="51">
        <v>51681.05</v>
      </c>
      <c r="P16" s="52">
        <v>9862.56</v>
      </c>
      <c r="Q16" s="53">
        <v>45666.37</v>
      </c>
      <c r="R16" s="54">
        <v>9862.56</v>
      </c>
      <c r="S16" s="22">
        <v>45666.37</v>
      </c>
      <c r="T16" s="54">
        <v>9052.7999999999993</v>
      </c>
      <c r="U16" s="22">
        <v>55797.08</v>
      </c>
      <c r="V16" s="54">
        <v>11201.92</v>
      </c>
      <c r="W16" s="7">
        <v>63192.480000000003</v>
      </c>
      <c r="X16" s="54">
        <v>12523.36</v>
      </c>
      <c r="Y16" s="7">
        <v>70287.87</v>
      </c>
      <c r="Z16" s="55">
        <v>13574.24</v>
      </c>
      <c r="AA16" s="53">
        <v>75676.56</v>
      </c>
      <c r="AB16" s="55">
        <v>13264.64</v>
      </c>
      <c r="AC16" s="53">
        <v>74188.77</v>
      </c>
      <c r="AD16" s="16">
        <f t="shared" si="0"/>
        <v>142036.79999999999</v>
      </c>
      <c r="AE16" s="16">
        <f t="shared" si="0"/>
        <v>732420.23</v>
      </c>
    </row>
    <row r="17" spans="1:31" ht="15.75" x14ac:dyDescent="0.25">
      <c r="A17" s="19" t="s">
        <v>55</v>
      </c>
      <c r="B17" s="44" t="s">
        <v>127</v>
      </c>
      <c r="C17" s="44">
        <v>18882486</v>
      </c>
      <c r="D17" s="90" t="s">
        <v>200</v>
      </c>
      <c r="E17" s="45" t="s">
        <v>142</v>
      </c>
      <c r="F17" s="46">
        <v>12300.975</v>
      </c>
      <c r="G17" s="7">
        <v>53944</v>
      </c>
      <c r="H17" s="47">
        <v>12223.35</v>
      </c>
      <c r="I17" s="48">
        <v>53603.37</v>
      </c>
      <c r="J17" s="49">
        <v>12221.625</v>
      </c>
      <c r="K17" s="56">
        <v>53595.82</v>
      </c>
      <c r="L17" s="49">
        <v>7396.8</v>
      </c>
      <c r="M17" s="56">
        <v>31660.52</v>
      </c>
      <c r="N17" s="52">
        <v>8778.5249999999996</v>
      </c>
      <c r="O17" s="56">
        <v>37574.730000000003</v>
      </c>
      <c r="P17" s="52">
        <v>7091.4750000000004</v>
      </c>
      <c r="Q17" s="53">
        <v>30353.66</v>
      </c>
      <c r="R17" s="54">
        <v>7091.4750000000004</v>
      </c>
      <c r="S17" s="22">
        <v>30353.66</v>
      </c>
      <c r="T17" s="54">
        <v>6489.45</v>
      </c>
      <c r="U17" s="22">
        <v>34150.03</v>
      </c>
      <c r="V17" s="54">
        <v>9939.4500000000007</v>
      </c>
      <c r="W17" s="7">
        <v>52305.279999999999</v>
      </c>
      <c r="X17" s="54">
        <v>10310.325000000001</v>
      </c>
      <c r="Y17" s="7">
        <v>59387.03</v>
      </c>
      <c r="Z17" s="55">
        <v>14788.424999999999</v>
      </c>
      <c r="AA17" s="53">
        <v>77822.490000000005</v>
      </c>
      <c r="AB17" s="55">
        <v>22930.424999999999</v>
      </c>
      <c r="AC17" s="53">
        <v>120668.86</v>
      </c>
      <c r="AD17" s="16">
        <f t="shared" si="0"/>
        <v>131562.29999999999</v>
      </c>
      <c r="AE17" s="16">
        <f t="shared" si="0"/>
        <v>635419.45000000007</v>
      </c>
    </row>
    <row r="18" spans="1:31" ht="15.75" x14ac:dyDescent="0.25">
      <c r="A18" s="19" t="s">
        <v>52</v>
      </c>
      <c r="B18" s="44" t="s">
        <v>127</v>
      </c>
      <c r="C18" s="44">
        <v>18882660</v>
      </c>
      <c r="D18" s="90" t="s">
        <v>201</v>
      </c>
      <c r="E18" s="45" t="s">
        <v>143</v>
      </c>
      <c r="F18" s="46">
        <v>25721.474999999999</v>
      </c>
      <c r="G18" s="7">
        <v>112797</v>
      </c>
      <c r="H18" s="47">
        <v>24327.674999999999</v>
      </c>
      <c r="I18" s="48">
        <v>106684.79</v>
      </c>
      <c r="J18" s="49">
        <v>25566.224999999999</v>
      </c>
      <c r="K18" s="56">
        <v>112116.24</v>
      </c>
      <c r="L18" s="49">
        <v>17584.650000000001</v>
      </c>
      <c r="M18" s="56">
        <v>75267.62</v>
      </c>
      <c r="N18" s="52">
        <v>19038.825000000001</v>
      </c>
      <c r="O18" s="56">
        <v>81491.94</v>
      </c>
      <c r="P18" s="52">
        <v>44177.25</v>
      </c>
      <c r="Q18" s="53">
        <v>189091.99</v>
      </c>
      <c r="R18" s="54">
        <v>44177.25</v>
      </c>
      <c r="S18" s="22">
        <v>189091.99</v>
      </c>
      <c r="T18" s="54">
        <v>55489.8</v>
      </c>
      <c r="U18" s="22">
        <v>292009.42</v>
      </c>
      <c r="V18" s="54">
        <v>52108.800000000003</v>
      </c>
      <c r="W18" s="7">
        <v>274216.90999999997</v>
      </c>
      <c r="X18" s="54">
        <v>20322.224999999999</v>
      </c>
      <c r="Y18" s="7">
        <v>106943.49</v>
      </c>
      <c r="Z18" s="55">
        <v>27674.174999999999</v>
      </c>
      <c r="AA18" s="53">
        <v>145632.35999999999</v>
      </c>
      <c r="AB18" s="55">
        <v>30920.625</v>
      </c>
      <c r="AC18" s="53">
        <v>135597.04</v>
      </c>
      <c r="AD18" s="16">
        <f t="shared" si="0"/>
        <v>387108.97499999992</v>
      </c>
      <c r="AE18" s="16">
        <f t="shared" si="0"/>
        <v>1820940.79</v>
      </c>
    </row>
    <row r="19" spans="1:31" ht="15.75" x14ac:dyDescent="0.25">
      <c r="A19" s="19" t="s">
        <v>49</v>
      </c>
      <c r="B19" s="44" t="s">
        <v>144</v>
      </c>
      <c r="C19" s="44">
        <v>18882711</v>
      </c>
      <c r="D19" s="90" t="s">
        <v>202</v>
      </c>
      <c r="E19" s="45" t="s">
        <v>145</v>
      </c>
      <c r="F19" s="46">
        <v>5953.12</v>
      </c>
      <c r="G19" s="7">
        <v>27569</v>
      </c>
      <c r="H19" s="47">
        <v>5776.72</v>
      </c>
      <c r="I19" s="48">
        <v>26701.02</v>
      </c>
      <c r="J19" s="49">
        <v>6487</v>
      </c>
      <c r="K19" s="56">
        <v>29910.2</v>
      </c>
      <c r="L19" s="49">
        <v>4629.04</v>
      </c>
      <c r="M19" s="56">
        <v>21195.200000000001</v>
      </c>
      <c r="N19" s="52">
        <v>5796.16</v>
      </c>
      <c r="O19" s="56">
        <v>26236.87</v>
      </c>
      <c r="P19" s="52">
        <v>4406.24</v>
      </c>
      <c r="Q19" s="53">
        <v>16867.96</v>
      </c>
      <c r="R19" s="54">
        <v>4406.24</v>
      </c>
      <c r="S19" s="22">
        <v>20241.55</v>
      </c>
      <c r="T19" s="54">
        <v>3020.84</v>
      </c>
      <c r="U19" s="22">
        <v>17651.939999999999</v>
      </c>
      <c r="V19" s="54">
        <v>4142.08</v>
      </c>
      <c r="W19" s="7">
        <v>23495.72</v>
      </c>
      <c r="X19" s="54">
        <v>5845.56</v>
      </c>
      <c r="Y19" s="7">
        <v>32516.71</v>
      </c>
      <c r="Z19" s="55">
        <v>5768.56</v>
      </c>
      <c r="AA19" s="53">
        <v>32054.9</v>
      </c>
      <c r="AB19" s="55">
        <v>6460.84</v>
      </c>
      <c r="AC19" s="53">
        <v>35754.57</v>
      </c>
      <c r="AD19" s="16">
        <f t="shared" si="0"/>
        <v>62692.399999999994</v>
      </c>
      <c r="AE19" s="16">
        <f t="shared" si="0"/>
        <v>310195.64</v>
      </c>
    </row>
    <row r="20" spans="1:31" ht="15.75" x14ac:dyDescent="0.25">
      <c r="A20" s="19" t="s">
        <v>46</v>
      </c>
      <c r="B20" s="44" t="s">
        <v>146</v>
      </c>
      <c r="C20" s="44">
        <v>18882763</v>
      </c>
      <c r="D20" s="90" t="s">
        <v>203</v>
      </c>
      <c r="E20" s="45" t="s">
        <v>147</v>
      </c>
      <c r="F20" s="46">
        <v>2410.018</v>
      </c>
      <c r="G20" s="7">
        <v>10054.92</v>
      </c>
      <c r="H20" s="47">
        <v>2278.6849999999999</v>
      </c>
      <c r="I20" s="48">
        <v>9517.73</v>
      </c>
      <c r="J20" s="49">
        <f>930+1442.604</f>
        <v>2372.6040000000003</v>
      </c>
      <c r="K20" s="56">
        <v>9882.18</v>
      </c>
      <c r="L20" s="49">
        <f>900+694.206</f>
        <v>1594.2060000000001</v>
      </c>
      <c r="M20" s="56">
        <v>6322.48</v>
      </c>
      <c r="N20" s="52">
        <f>930+1138.757</f>
        <v>2068.7570000000001</v>
      </c>
      <c r="O20" s="56">
        <v>8479.1299999999992</v>
      </c>
      <c r="P20" s="52">
        <f>900.001+488.403</f>
        <v>1388.404</v>
      </c>
      <c r="Q20" s="53">
        <v>5372.15</v>
      </c>
      <c r="R20" s="54">
        <f>900.001+488.403</f>
        <v>1388.404</v>
      </c>
      <c r="S20" s="22">
        <v>5372.15</v>
      </c>
      <c r="T20" s="54">
        <f>929.999+729.184</f>
        <v>1659.183</v>
      </c>
      <c r="U20" s="22">
        <v>8458.17</v>
      </c>
      <c r="V20" s="54">
        <f>900+1374.468</f>
        <v>2274.4679999999998</v>
      </c>
      <c r="W20" s="7">
        <v>11917.4</v>
      </c>
      <c r="X20" s="54">
        <f>930+1483.575</f>
        <v>2413.5749999999998</v>
      </c>
      <c r="Y20" s="7">
        <v>12665.36</v>
      </c>
      <c r="Z20" s="55">
        <f>900+1833.801</f>
        <v>2733.8009999999999</v>
      </c>
      <c r="AA20" s="53">
        <v>14462.63</v>
      </c>
      <c r="AB20" s="55">
        <f>930+2456.031</f>
        <v>3386.0309999999999</v>
      </c>
      <c r="AC20" s="53">
        <v>18053.86</v>
      </c>
      <c r="AD20" s="16">
        <f t="shared" si="0"/>
        <v>25968.135999999999</v>
      </c>
      <c r="AE20" s="16">
        <f t="shared" si="0"/>
        <v>120558.16</v>
      </c>
    </row>
    <row r="21" spans="1:31" ht="15.75" x14ac:dyDescent="0.25">
      <c r="A21" s="19" t="s">
        <v>43</v>
      </c>
      <c r="B21" s="44" t="s">
        <v>148</v>
      </c>
      <c r="C21" s="44">
        <v>18882872</v>
      </c>
      <c r="D21" s="90" t="s">
        <v>204</v>
      </c>
      <c r="E21" s="45" t="s">
        <v>149</v>
      </c>
      <c r="F21" s="46">
        <v>5214.78</v>
      </c>
      <c r="G21" s="7">
        <v>23006.25</v>
      </c>
      <c r="H21" s="47">
        <v>4253.82</v>
      </c>
      <c r="I21" s="48">
        <v>18638.150000000001</v>
      </c>
      <c r="J21" s="49">
        <f>930+4119.36</f>
        <v>5049.3599999999997</v>
      </c>
      <c r="K21" s="51">
        <v>22242.39</v>
      </c>
      <c r="L21" s="49">
        <f>900+2284.44</f>
        <v>3184.44</v>
      </c>
      <c r="M21" s="51">
        <v>13665.55</v>
      </c>
      <c r="N21" s="52">
        <f>930+2356.74</f>
        <v>3286.74</v>
      </c>
      <c r="O21" s="51">
        <v>14103.29</v>
      </c>
      <c r="P21" s="52">
        <f>900.001+1579.259</f>
        <v>2479.2600000000002</v>
      </c>
      <c r="Q21" s="53">
        <v>10409.290000000001</v>
      </c>
      <c r="R21" s="54">
        <f>900.001+1579.259</f>
        <v>2479.2600000000002</v>
      </c>
      <c r="S21" s="22">
        <v>10409.290000000001</v>
      </c>
      <c r="T21" s="54">
        <f>930+1379.04</f>
        <v>2309.04</v>
      </c>
      <c r="U21" s="22">
        <v>12086.12</v>
      </c>
      <c r="V21" s="54">
        <f>900+2094.12</f>
        <v>2994.12</v>
      </c>
      <c r="W21" s="7">
        <v>15905.08</v>
      </c>
      <c r="X21" s="54">
        <f>930+2514.54</f>
        <v>3444.54</v>
      </c>
      <c r="Y21" s="7">
        <v>18378.060000000001</v>
      </c>
      <c r="Z21" s="55">
        <f>900+3288.84</f>
        <v>4188.84</v>
      </c>
      <c r="AA21" s="53">
        <v>22525.21</v>
      </c>
      <c r="AB21" s="55">
        <f>930+4104.42</f>
        <v>5034.42</v>
      </c>
      <c r="AC21" s="53">
        <v>27187.81</v>
      </c>
      <c r="AD21" s="16">
        <f t="shared" si="0"/>
        <v>43918.619999999995</v>
      </c>
      <c r="AE21" s="16">
        <f t="shared" si="0"/>
        <v>208556.49</v>
      </c>
    </row>
    <row r="22" spans="1:31" ht="15.75" x14ac:dyDescent="0.25">
      <c r="A22" s="19" t="s">
        <v>40</v>
      </c>
      <c r="B22" s="44" t="s">
        <v>144</v>
      </c>
      <c r="C22" s="44">
        <v>18883033</v>
      </c>
      <c r="D22" s="90" t="s">
        <v>205</v>
      </c>
      <c r="E22" s="45" t="s">
        <v>150</v>
      </c>
      <c r="F22" s="46">
        <v>5705.85</v>
      </c>
      <c r="G22" s="20">
        <v>25273</v>
      </c>
      <c r="H22" s="20">
        <v>4236.8999999999996</v>
      </c>
      <c r="I22" s="48">
        <v>18560.03</v>
      </c>
      <c r="J22" s="49">
        <f>930+3355.41</f>
        <v>4285.41</v>
      </c>
      <c r="K22" s="51">
        <v>18714.75</v>
      </c>
      <c r="L22" s="49">
        <f>900+1605.57</f>
        <v>2505.5699999999997</v>
      </c>
      <c r="M22" s="51">
        <v>10530.78</v>
      </c>
      <c r="N22" s="52">
        <f>930+457.9</f>
        <v>1387.9</v>
      </c>
      <c r="O22" s="51">
        <v>12312.21</v>
      </c>
      <c r="P22" s="52">
        <f>899.999+1964.491</f>
        <v>2864.49</v>
      </c>
      <c r="Q22" s="70">
        <v>12945.19</v>
      </c>
      <c r="R22" s="54">
        <f>899.999+1964.491</f>
        <v>2864.49</v>
      </c>
      <c r="S22" s="71">
        <v>12945.19</v>
      </c>
      <c r="T22" s="54">
        <f>930.01+1575.389</f>
        <v>2505.3989999999999</v>
      </c>
      <c r="U22" s="71">
        <v>14273.41</v>
      </c>
      <c r="V22" s="54">
        <f>900+2435.01</f>
        <v>3335.01</v>
      </c>
      <c r="W22" s="20">
        <v>17794.009999999998</v>
      </c>
      <c r="X22" s="54">
        <f>930+3166.26</f>
        <v>4096.26</v>
      </c>
      <c r="Y22" s="20">
        <v>21989.37</v>
      </c>
      <c r="Z22" s="55">
        <f>900+3622.32</f>
        <v>4522.32</v>
      </c>
      <c r="AA22" s="70">
        <v>24373.040000000001</v>
      </c>
      <c r="AB22" s="55">
        <f>930+4455.3</f>
        <v>5385.3</v>
      </c>
      <c r="AC22" s="70">
        <v>29132.1</v>
      </c>
      <c r="AD22" s="16">
        <f t="shared" si="0"/>
        <v>43694.899000000005</v>
      </c>
      <c r="AE22" s="16">
        <f t="shared" si="0"/>
        <v>218843.08000000002</v>
      </c>
    </row>
    <row r="23" spans="1:31" ht="15.75" x14ac:dyDescent="0.25">
      <c r="A23" s="19" t="s">
        <v>37</v>
      </c>
      <c r="B23" s="44" t="s">
        <v>151</v>
      </c>
      <c r="C23" s="44">
        <v>18883087</v>
      </c>
      <c r="D23" s="90" t="s">
        <v>206</v>
      </c>
      <c r="E23" s="45" t="s">
        <v>152</v>
      </c>
      <c r="F23" s="46">
        <v>498.05</v>
      </c>
      <c r="G23" s="11">
        <v>3880.72</v>
      </c>
      <c r="H23" s="72">
        <v>456.75</v>
      </c>
      <c r="I23" s="48">
        <v>3590.14</v>
      </c>
      <c r="J23" s="49">
        <v>375.65</v>
      </c>
      <c r="K23" s="56">
        <v>3343.92</v>
      </c>
      <c r="L23" s="49">
        <v>128.69999999999999</v>
      </c>
      <c r="M23" s="56">
        <v>2153.4</v>
      </c>
      <c r="N23" s="52">
        <v>111.3</v>
      </c>
      <c r="O23" s="56">
        <v>2132.36</v>
      </c>
      <c r="P23" s="63">
        <v>108.7</v>
      </c>
      <c r="Q23" s="53">
        <v>2067.8000000000002</v>
      </c>
      <c r="R23" s="64">
        <v>108.7</v>
      </c>
      <c r="S23" s="73">
        <v>2067.8000000000002</v>
      </c>
      <c r="T23" s="64">
        <v>98.55</v>
      </c>
      <c r="U23" s="73">
        <v>2554.52</v>
      </c>
      <c r="V23" s="64">
        <v>106.8</v>
      </c>
      <c r="W23" s="11">
        <v>2532.2800000000002</v>
      </c>
      <c r="X23" s="68">
        <v>119.65</v>
      </c>
      <c r="Y23" s="11">
        <v>2665.56</v>
      </c>
      <c r="Z23" s="55">
        <v>242.6</v>
      </c>
      <c r="AA23" s="74">
        <v>3246.88</v>
      </c>
      <c r="AB23" s="55">
        <f>373+386.88</f>
        <v>759.88</v>
      </c>
      <c r="AC23" s="74">
        <f>3998.78</f>
        <v>3998.78</v>
      </c>
      <c r="AD23" s="16">
        <f t="shared" si="0"/>
        <v>3115.33</v>
      </c>
      <c r="AE23" s="16">
        <f t="shared" si="0"/>
        <v>34234.160000000003</v>
      </c>
    </row>
    <row r="24" spans="1:31" ht="15.75" x14ac:dyDescent="0.25">
      <c r="A24" s="19" t="s">
        <v>34</v>
      </c>
      <c r="B24" s="44" t="s">
        <v>151</v>
      </c>
      <c r="C24" s="44">
        <v>18883130</v>
      </c>
      <c r="D24" s="90" t="s">
        <v>207</v>
      </c>
      <c r="E24" s="45" t="s">
        <v>153</v>
      </c>
      <c r="F24" s="46">
        <v>46637.1</v>
      </c>
      <c r="G24" s="7">
        <v>122711.35799999999</v>
      </c>
      <c r="H24" s="47">
        <v>43611.45</v>
      </c>
      <c r="I24" s="48">
        <v>191250.45</v>
      </c>
      <c r="J24" s="49">
        <v>37827.525000000001</v>
      </c>
      <c r="K24" s="56">
        <v>165886.06</v>
      </c>
      <c r="L24" s="49">
        <v>24619.200000000001</v>
      </c>
      <c r="M24" s="56">
        <v>105377.63</v>
      </c>
      <c r="N24" s="52">
        <v>29794.2</v>
      </c>
      <c r="O24" s="56">
        <v>127528.2</v>
      </c>
      <c r="P24" s="52">
        <v>50351.025000000001</v>
      </c>
      <c r="Q24" s="53">
        <v>215517.62</v>
      </c>
      <c r="R24" s="54">
        <v>50351.025000000001</v>
      </c>
      <c r="S24" s="22">
        <v>215517.62</v>
      </c>
      <c r="T24" s="54">
        <v>76759.05</v>
      </c>
      <c r="U24" s="22">
        <v>403936.17</v>
      </c>
      <c r="V24" s="54">
        <v>45333</v>
      </c>
      <c r="W24" s="7">
        <v>238559.97</v>
      </c>
      <c r="X24" s="54">
        <v>38208.75</v>
      </c>
      <c r="Y24" s="7">
        <v>201069.41</v>
      </c>
      <c r="Z24" s="55">
        <f>46402.5</f>
        <v>46402.5</v>
      </c>
      <c r="AA24" s="53">
        <v>244188.11</v>
      </c>
      <c r="AB24" s="55">
        <v>56383.35</v>
      </c>
      <c r="AC24" s="53">
        <v>296711.26</v>
      </c>
      <c r="AD24" s="16">
        <f t="shared" si="0"/>
        <v>546278.17500000005</v>
      </c>
      <c r="AE24" s="16">
        <f t="shared" si="0"/>
        <v>2528253.858</v>
      </c>
    </row>
    <row r="25" spans="1:31" ht="15.75" x14ac:dyDescent="0.25">
      <c r="A25" s="19" t="s">
        <v>31</v>
      </c>
      <c r="B25" s="44" t="s">
        <v>154</v>
      </c>
      <c r="C25" s="44">
        <v>18883171</v>
      </c>
      <c r="D25" s="90" t="s">
        <v>208</v>
      </c>
      <c r="E25" s="45" t="s">
        <v>155</v>
      </c>
      <c r="F25" s="46">
        <v>7040.32</v>
      </c>
      <c r="G25" s="7">
        <v>33419</v>
      </c>
      <c r="H25" s="47">
        <v>5393.44</v>
      </c>
      <c r="I25" s="48">
        <v>26032.720000000001</v>
      </c>
      <c r="J25" s="49">
        <v>5146.3999999999996</v>
      </c>
      <c r="K25" s="50">
        <v>25250.21</v>
      </c>
      <c r="L25" s="49">
        <v>2452.16</v>
      </c>
      <c r="M25" s="50">
        <v>12739.56</v>
      </c>
      <c r="N25" s="52">
        <v>2988.96</v>
      </c>
      <c r="O25" s="50">
        <v>15277.58</v>
      </c>
      <c r="P25" s="52">
        <v>1858.32</v>
      </c>
      <c r="Q25" s="53">
        <v>10357.98</v>
      </c>
      <c r="R25" s="54">
        <v>1858.32</v>
      </c>
      <c r="S25" s="22">
        <v>10357.98</v>
      </c>
      <c r="T25" s="54">
        <v>2082.48</v>
      </c>
      <c r="U25" s="22">
        <v>15105.04</v>
      </c>
      <c r="V25" s="54">
        <v>2550.16</v>
      </c>
      <c r="W25" s="7">
        <v>16375.31</v>
      </c>
      <c r="X25" s="54">
        <v>3811.28</v>
      </c>
      <c r="Y25" s="7">
        <v>23110.32</v>
      </c>
      <c r="Z25" s="55">
        <f>5132.08</f>
        <v>5132.08</v>
      </c>
      <c r="AA25" s="53">
        <v>29962.38</v>
      </c>
      <c r="AB25" s="55">
        <v>6447.92</v>
      </c>
      <c r="AC25" s="53">
        <v>36985.360000000001</v>
      </c>
      <c r="AD25" s="16">
        <f t="shared" si="0"/>
        <v>46761.84</v>
      </c>
      <c r="AE25" s="16">
        <f t="shared" si="0"/>
        <v>254973.44</v>
      </c>
    </row>
    <row r="26" spans="1:31" ht="15.75" x14ac:dyDescent="0.25">
      <c r="A26" s="19" t="s">
        <v>28</v>
      </c>
      <c r="B26" s="44" t="s">
        <v>156</v>
      </c>
      <c r="C26" s="44">
        <v>18883218</v>
      </c>
      <c r="D26" s="90" t="s">
        <v>209</v>
      </c>
      <c r="E26" s="45" t="s">
        <v>157</v>
      </c>
      <c r="F26" s="46">
        <v>7010.64</v>
      </c>
      <c r="G26" s="7">
        <v>33288.839999999997</v>
      </c>
      <c r="H26" s="47">
        <v>6051.92</v>
      </c>
      <c r="I26" s="48">
        <v>28920.35</v>
      </c>
      <c r="J26" s="49">
        <v>5898.96</v>
      </c>
      <c r="K26" s="56">
        <v>28413.75</v>
      </c>
      <c r="L26" s="49">
        <v>3598.24</v>
      </c>
      <c r="M26" s="56">
        <v>17805.36</v>
      </c>
      <c r="N26" s="52">
        <v>4117.76</v>
      </c>
      <c r="O26" s="56">
        <v>20109.2</v>
      </c>
      <c r="P26" s="52">
        <v>3779.84</v>
      </c>
      <c r="Q26" s="53">
        <v>18485.560000000001</v>
      </c>
      <c r="R26" s="54">
        <v>3779.8</v>
      </c>
      <c r="S26" s="22">
        <v>18582.669999999998</v>
      </c>
      <c r="T26" s="54">
        <f>2412.48+1915.055</f>
        <v>4327.5349999999999</v>
      </c>
      <c r="U26" s="22">
        <v>25905.11</v>
      </c>
      <c r="V26" s="54">
        <v>4456.4799999999996</v>
      </c>
      <c r="W26" s="7">
        <v>25970.69</v>
      </c>
      <c r="X26" s="54">
        <v>3389.6</v>
      </c>
      <c r="Y26" s="7">
        <v>19223.96</v>
      </c>
      <c r="Z26" s="55">
        <f>5338.4</f>
        <v>5338.4</v>
      </c>
      <c r="AA26" s="53">
        <v>30492.23</v>
      </c>
      <c r="AB26" s="55">
        <f>6713.2</f>
        <v>6713.2</v>
      </c>
      <c r="AC26" s="53">
        <v>38253.32</v>
      </c>
      <c r="AD26" s="16">
        <f t="shared" si="0"/>
        <v>58462.375</v>
      </c>
      <c r="AE26" s="16">
        <f t="shared" si="0"/>
        <v>305451.03999999998</v>
      </c>
    </row>
    <row r="27" spans="1:31" ht="15.75" x14ac:dyDescent="0.25">
      <c r="A27" s="19" t="s">
        <v>25</v>
      </c>
      <c r="B27" s="44" t="s">
        <v>158</v>
      </c>
      <c r="C27" s="44">
        <v>18883269</v>
      </c>
      <c r="D27" s="90" t="s">
        <v>210</v>
      </c>
      <c r="E27" s="45" t="s">
        <v>159</v>
      </c>
      <c r="F27" s="46">
        <v>4975.26</v>
      </c>
      <c r="G27" s="7">
        <v>21900.23</v>
      </c>
      <c r="H27" s="20">
        <v>4555.5</v>
      </c>
      <c r="I27" s="48">
        <v>21908.85</v>
      </c>
      <c r="J27" s="49">
        <f>930+2894.04</f>
        <v>3824.04</v>
      </c>
      <c r="K27" s="56">
        <v>16584.34</v>
      </c>
      <c r="L27" s="28">
        <f>900+2188.8</f>
        <v>3088.8</v>
      </c>
      <c r="M27" s="56">
        <v>13223.91</v>
      </c>
      <c r="N27" s="52">
        <f>930+2430.48</f>
        <v>3360.48</v>
      </c>
      <c r="O27" s="56">
        <v>14443.81</v>
      </c>
      <c r="P27" s="52">
        <f>900+2073.24</f>
        <v>2973.24</v>
      </c>
      <c r="Q27" s="53">
        <v>12690.32</v>
      </c>
      <c r="R27" s="54">
        <f>900+2073.24</f>
        <v>2973.24</v>
      </c>
      <c r="S27" s="22">
        <v>12690.32</v>
      </c>
      <c r="T27" s="54">
        <f>930.001+2300.219</f>
        <v>3230.2200000000003</v>
      </c>
      <c r="U27" s="22">
        <v>17190.5</v>
      </c>
      <c r="V27" s="54">
        <f>900+2877.3</f>
        <v>3777.3</v>
      </c>
      <c r="W27" s="7">
        <v>20244.810000000001</v>
      </c>
      <c r="X27" s="54">
        <f>930+2870.22</f>
        <v>3800.22</v>
      </c>
      <c r="Y27" s="7">
        <v>20348.939999999999</v>
      </c>
      <c r="Z27" s="55">
        <f>900+3095.4</f>
        <v>3995.4</v>
      </c>
      <c r="AA27" s="53">
        <v>21451.33</v>
      </c>
      <c r="AB27" s="55">
        <f>930+3519</f>
        <v>4449</v>
      </c>
      <c r="AC27" s="53">
        <v>23943.93</v>
      </c>
      <c r="AD27" s="16">
        <f t="shared" si="0"/>
        <v>45002.7</v>
      </c>
      <c r="AE27" s="16">
        <f t="shared" si="0"/>
        <v>216621.28999999998</v>
      </c>
    </row>
    <row r="28" spans="1:31" ht="15.75" x14ac:dyDescent="0.25">
      <c r="A28" s="19" t="s">
        <v>22</v>
      </c>
      <c r="B28" s="44" t="s">
        <v>160</v>
      </c>
      <c r="C28" s="44">
        <v>18883305</v>
      </c>
      <c r="D28" s="90" t="s">
        <v>211</v>
      </c>
      <c r="E28" s="45" t="s">
        <v>161</v>
      </c>
      <c r="F28" s="46">
        <v>6254.35</v>
      </c>
      <c r="G28" s="7">
        <v>27806.54</v>
      </c>
      <c r="H28" s="20">
        <v>6131.65</v>
      </c>
      <c r="I28" s="48">
        <v>27309.24</v>
      </c>
      <c r="J28" s="49">
        <f>930+4261.35</f>
        <v>5191.3500000000004</v>
      </c>
      <c r="K28" s="56">
        <v>22898.04</v>
      </c>
      <c r="L28" s="49">
        <f>900+1532.1</f>
        <v>2432.1</v>
      </c>
      <c r="M28" s="56">
        <v>10191.51</v>
      </c>
      <c r="N28" s="57">
        <f>930+1772.95</f>
        <v>2702.95</v>
      </c>
      <c r="O28" s="56">
        <v>11176.69</v>
      </c>
      <c r="P28" s="52">
        <f>900+2104</f>
        <v>3004</v>
      </c>
      <c r="Q28" s="53">
        <v>12832.32</v>
      </c>
      <c r="R28" s="54">
        <f>900+2104</f>
        <v>3004</v>
      </c>
      <c r="S28" s="22">
        <v>12832.32</v>
      </c>
      <c r="T28" s="54">
        <f>930+2250.65</f>
        <v>3180.65</v>
      </c>
      <c r="U28" s="22">
        <v>16915.830000000002</v>
      </c>
      <c r="V28" s="54">
        <f>900+2595.3</f>
        <v>3495.3</v>
      </c>
      <c r="W28" s="7">
        <v>18682.21</v>
      </c>
      <c r="X28" s="75">
        <f>930+2142</f>
        <v>3072</v>
      </c>
      <c r="Y28" s="7">
        <v>16313.79</v>
      </c>
      <c r="Z28" s="55">
        <f>900+3407.05</f>
        <v>4307.05</v>
      </c>
      <c r="AA28" s="53">
        <v>23180.22</v>
      </c>
      <c r="AB28" s="55">
        <f>930+4889.2</f>
        <v>5819.2</v>
      </c>
      <c r="AC28" s="53">
        <v>31536.38</v>
      </c>
      <c r="AD28" s="16">
        <f t="shared" si="0"/>
        <v>48594.6</v>
      </c>
      <c r="AE28" s="16">
        <f t="shared" si="0"/>
        <v>231675.09</v>
      </c>
    </row>
    <row r="29" spans="1:31" ht="15.75" x14ac:dyDescent="0.25">
      <c r="A29" s="19" t="s">
        <v>19</v>
      </c>
      <c r="B29" s="44" t="s">
        <v>162</v>
      </c>
      <c r="C29" s="44">
        <v>18883389</v>
      </c>
      <c r="D29" s="90" t="s">
        <v>212</v>
      </c>
      <c r="E29" s="45" t="s">
        <v>163</v>
      </c>
      <c r="F29" s="46">
        <v>3917.6</v>
      </c>
      <c r="G29" s="7">
        <v>18877</v>
      </c>
      <c r="H29" s="47">
        <v>3629.6</v>
      </c>
      <c r="I29" s="48">
        <v>26687.71</v>
      </c>
      <c r="J29" s="49">
        <v>3140.95</v>
      </c>
      <c r="K29" s="56">
        <v>23479.38</v>
      </c>
      <c r="L29" s="49">
        <v>2412.9</v>
      </c>
      <c r="M29" s="56">
        <v>18532.330000000002</v>
      </c>
      <c r="N29" s="52">
        <v>2313.5</v>
      </c>
      <c r="O29" s="56">
        <v>11558.46</v>
      </c>
      <c r="P29" s="52">
        <v>1364.95</v>
      </c>
      <c r="Q29" s="53">
        <v>7855.25</v>
      </c>
      <c r="R29" s="54">
        <v>1364.95</v>
      </c>
      <c r="S29" s="22">
        <v>7855.25</v>
      </c>
      <c r="T29" s="54">
        <v>1306.25</v>
      </c>
      <c r="U29" s="22">
        <v>9765.76</v>
      </c>
      <c r="V29" s="54">
        <v>1920.4</v>
      </c>
      <c r="W29" s="7">
        <v>12789.18</v>
      </c>
      <c r="X29" s="54">
        <v>2447.1999999999998</v>
      </c>
      <c r="Y29" s="7">
        <v>14914.04</v>
      </c>
      <c r="Z29" s="55">
        <v>2896.85</v>
      </c>
      <c r="AA29" s="53">
        <v>17214.580000000002</v>
      </c>
      <c r="AB29" s="55">
        <f>3534.35</f>
        <v>3534.35</v>
      </c>
      <c r="AC29" s="53">
        <f>22017.32</f>
        <v>22017.32</v>
      </c>
      <c r="AD29" s="16">
        <f t="shared" si="0"/>
        <v>30249.5</v>
      </c>
      <c r="AE29" s="16">
        <f t="shared" si="0"/>
        <v>191546.26</v>
      </c>
    </row>
    <row r="30" spans="1:31" ht="15.75" x14ac:dyDescent="0.25">
      <c r="A30" s="19" t="s">
        <v>16</v>
      </c>
      <c r="B30" s="44" t="s">
        <v>164</v>
      </c>
      <c r="C30" s="44">
        <v>18883477</v>
      </c>
      <c r="D30" s="90" t="s">
        <v>213</v>
      </c>
      <c r="E30" s="45" t="s">
        <v>165</v>
      </c>
      <c r="F30" s="46">
        <v>2257.7199999999998</v>
      </c>
      <c r="G30" s="7">
        <v>9317</v>
      </c>
      <c r="H30" s="76">
        <v>3787.04</v>
      </c>
      <c r="I30" s="66">
        <v>16537.189999999999</v>
      </c>
      <c r="J30" s="28">
        <f>930+3964.4</f>
        <v>4894.3999999999996</v>
      </c>
      <c r="K30" s="56">
        <v>16909.22</v>
      </c>
      <c r="L30" s="28">
        <f>900+2192.4</f>
        <v>3092.4</v>
      </c>
      <c r="M30" s="56">
        <v>13240.54</v>
      </c>
      <c r="N30" s="52">
        <f>930+2104.12</f>
        <v>3034.12</v>
      </c>
      <c r="O30" s="56">
        <v>12936.79</v>
      </c>
      <c r="P30" s="63">
        <f>900+2429.76</f>
        <v>3329.76</v>
      </c>
      <c r="Q30" s="53">
        <v>14336.59</v>
      </c>
      <c r="R30" s="64">
        <f>900+2429.76</f>
        <v>3329.76</v>
      </c>
      <c r="S30" s="22">
        <v>14336.59</v>
      </c>
      <c r="T30" s="64">
        <f>930+2502.92</f>
        <v>3432.92</v>
      </c>
      <c r="U30" s="22">
        <v>18313.689999999999</v>
      </c>
      <c r="V30" s="64">
        <f>900+2155.52</f>
        <v>3055.52</v>
      </c>
      <c r="W30" s="7">
        <v>16245.33</v>
      </c>
      <c r="X30" s="64">
        <f>930+2619.08</f>
        <v>3549.08</v>
      </c>
      <c r="Y30" s="7">
        <v>18957.349999999999</v>
      </c>
      <c r="Z30" s="55">
        <f>900+2879.88</f>
        <v>3779.88</v>
      </c>
      <c r="AA30" s="53">
        <v>20259.099999999999</v>
      </c>
      <c r="AB30" s="55">
        <f>930+3379.16</f>
        <v>4309.16</v>
      </c>
      <c r="AC30" s="53">
        <v>23169.06</v>
      </c>
      <c r="AD30" s="16">
        <f t="shared" si="0"/>
        <v>41851.759999999995</v>
      </c>
      <c r="AE30" s="16">
        <f t="shared" si="0"/>
        <v>194558.45</v>
      </c>
    </row>
    <row r="31" spans="1:31" ht="15.75" x14ac:dyDescent="0.25">
      <c r="A31" s="19" t="s">
        <v>13</v>
      </c>
      <c r="B31" s="44" t="s">
        <v>166</v>
      </c>
      <c r="C31" s="44">
        <v>18883511</v>
      </c>
      <c r="D31" s="90" t="s">
        <v>214</v>
      </c>
      <c r="E31" s="45" t="s">
        <v>167</v>
      </c>
      <c r="F31" s="46">
        <v>18641.5</v>
      </c>
      <c r="G31" s="7">
        <v>10013.52</v>
      </c>
      <c r="H31" s="47">
        <v>15839.7</v>
      </c>
      <c r="I31" s="48">
        <v>71049.41</v>
      </c>
      <c r="J31" s="49">
        <v>14901.5</v>
      </c>
      <c r="K31" s="56">
        <v>67044.539999999994</v>
      </c>
      <c r="L31" s="49">
        <v>12161.25</v>
      </c>
      <c r="M31" s="56">
        <v>53656.38</v>
      </c>
      <c r="N31" s="52">
        <v>13568.9</v>
      </c>
      <c r="O31" s="56">
        <v>59734.95</v>
      </c>
      <c r="P31" s="52">
        <v>17412.849999999999</v>
      </c>
      <c r="Q31" s="53">
        <v>76134.8</v>
      </c>
      <c r="R31" s="54">
        <f>17412.85</f>
        <v>17412.849999999999</v>
      </c>
      <c r="S31" s="22">
        <v>76134.8</v>
      </c>
      <c r="T31" s="54">
        <f>20071.95</f>
        <v>20071.95</v>
      </c>
      <c r="U31" s="22">
        <v>107662.38</v>
      </c>
      <c r="V31" s="54">
        <v>14632.9</v>
      </c>
      <c r="W31" s="7">
        <v>78974.289999999994</v>
      </c>
      <c r="X31" s="54">
        <v>12950.35</v>
      </c>
      <c r="Y31" s="7">
        <v>70185.759999999995</v>
      </c>
      <c r="Z31" s="55">
        <f>14123.75</f>
        <v>14123.75</v>
      </c>
      <c r="AA31" s="53">
        <v>76294.929999999993</v>
      </c>
      <c r="AB31" s="55">
        <v>15596</v>
      </c>
      <c r="AC31" s="77">
        <v>84108.18</v>
      </c>
      <c r="AD31" s="16">
        <f t="shared" si="0"/>
        <v>187313.5</v>
      </c>
      <c r="AE31" s="16">
        <f t="shared" si="0"/>
        <v>830993.94</v>
      </c>
    </row>
    <row r="32" spans="1:31" ht="15.75" x14ac:dyDescent="0.25">
      <c r="A32" s="19" t="s">
        <v>10</v>
      </c>
      <c r="B32" s="44" t="s">
        <v>168</v>
      </c>
      <c r="C32" s="44">
        <v>18883582</v>
      </c>
      <c r="D32" s="90" t="s">
        <v>215</v>
      </c>
      <c r="E32" s="45" t="s">
        <v>169</v>
      </c>
      <c r="F32" s="46">
        <v>9083.52</v>
      </c>
      <c r="G32" s="7">
        <v>42379</v>
      </c>
      <c r="H32" s="47">
        <v>8232.56</v>
      </c>
      <c r="I32" s="48">
        <v>38483.17</v>
      </c>
      <c r="J32" s="49">
        <v>7853.68</v>
      </c>
      <c r="K32" s="56">
        <v>30821.53</v>
      </c>
      <c r="L32" s="49">
        <v>5639.84</v>
      </c>
      <c r="M32" s="56">
        <v>26544.05</v>
      </c>
      <c r="N32" s="52">
        <v>6923.92</v>
      </c>
      <c r="O32" s="56">
        <v>32120.42</v>
      </c>
      <c r="P32" s="52">
        <v>5069.12</v>
      </c>
      <c r="Q32" s="53">
        <v>24101.200000000001</v>
      </c>
      <c r="R32" s="54">
        <v>5069.12</v>
      </c>
      <c r="S32" s="22">
        <v>24101.200000000001</v>
      </c>
      <c r="T32" s="54">
        <v>5149.04</v>
      </c>
      <c r="U32" s="22">
        <v>25125.119999999999</v>
      </c>
      <c r="V32" s="54">
        <v>5335.2</v>
      </c>
      <c r="W32" s="7">
        <v>31031.27</v>
      </c>
      <c r="X32" s="54">
        <v>6320.16</v>
      </c>
      <c r="Y32" s="7">
        <v>36313.03</v>
      </c>
      <c r="Z32" s="55">
        <v>6483.76</v>
      </c>
      <c r="AA32" s="53">
        <v>37075.449999999997</v>
      </c>
      <c r="AB32" s="55">
        <f>5878.08</f>
        <v>5878.08</v>
      </c>
      <c r="AC32" s="53">
        <v>33888.120000000003</v>
      </c>
      <c r="AD32" s="16">
        <f t="shared" si="0"/>
        <v>77038</v>
      </c>
      <c r="AE32" s="16">
        <f t="shared" si="0"/>
        <v>381983.56</v>
      </c>
    </row>
    <row r="33" spans="1:31" ht="15.75" x14ac:dyDescent="0.25">
      <c r="A33" s="19">
        <v>31</v>
      </c>
      <c r="B33" s="44" t="s">
        <v>127</v>
      </c>
      <c r="C33" s="44">
        <v>18883610</v>
      </c>
      <c r="D33" s="90" t="s">
        <v>216</v>
      </c>
      <c r="E33" s="45" t="s">
        <v>170</v>
      </c>
      <c r="F33" s="46">
        <v>43624.56</v>
      </c>
      <c r="G33" s="20">
        <v>191308</v>
      </c>
      <c r="H33" s="47">
        <v>31804.86</v>
      </c>
      <c r="I33" s="48">
        <v>149891.5</v>
      </c>
      <c r="J33" s="49">
        <v>47723.16</v>
      </c>
      <c r="K33" s="56">
        <v>209200.8</v>
      </c>
      <c r="L33" s="49">
        <v>17214.12</v>
      </c>
      <c r="M33" s="56">
        <v>87516.74</v>
      </c>
      <c r="N33" s="52">
        <v>34113.599999999999</v>
      </c>
      <c r="O33" s="56">
        <v>156261.18</v>
      </c>
      <c r="P33" s="52">
        <v>41525.58</v>
      </c>
      <c r="Q33" s="70">
        <v>179851.45</v>
      </c>
      <c r="R33" s="54">
        <v>41525.58</v>
      </c>
      <c r="S33" s="71">
        <v>179851.45</v>
      </c>
      <c r="T33" s="54">
        <v>27489.599999999999</v>
      </c>
      <c r="U33" s="71">
        <v>159588.68</v>
      </c>
      <c r="V33" s="54">
        <v>23628.36</v>
      </c>
      <c r="W33" s="20">
        <v>140526.6</v>
      </c>
      <c r="X33" s="54">
        <v>23559.360000000001</v>
      </c>
      <c r="Y33" s="20">
        <v>141909.35</v>
      </c>
      <c r="Z33" s="55">
        <v>39679.14</v>
      </c>
      <c r="AA33" s="70">
        <v>208807.17</v>
      </c>
      <c r="AB33" s="55">
        <v>40813.5</v>
      </c>
      <c r="AC33" s="70">
        <v>214776.62</v>
      </c>
      <c r="AD33" s="16">
        <f t="shared" si="0"/>
        <v>412701.42</v>
      </c>
      <c r="AE33" s="16">
        <f t="shared" si="0"/>
        <v>2019489.54</v>
      </c>
    </row>
    <row r="34" spans="1:31" ht="15.75" x14ac:dyDescent="0.25">
      <c r="A34" s="19" t="s">
        <v>5</v>
      </c>
      <c r="B34" s="44" t="s">
        <v>127</v>
      </c>
      <c r="C34" s="44">
        <v>18883639</v>
      </c>
      <c r="D34" s="90" t="s">
        <v>217</v>
      </c>
      <c r="E34" s="45" t="s">
        <v>178</v>
      </c>
      <c r="F34" s="46">
        <v>3478.348</v>
      </c>
      <c r="G34" s="20">
        <v>14988</v>
      </c>
      <c r="H34" s="76">
        <v>3445.0129999999999</v>
      </c>
      <c r="I34" s="66">
        <v>18060.900000000001</v>
      </c>
      <c r="J34" s="28">
        <f>930+3064.713</f>
        <v>3994.7130000000002</v>
      </c>
      <c r="K34" s="56">
        <v>21134.97</v>
      </c>
      <c r="L34" s="28">
        <f>900+2224.601</f>
        <v>3124.6010000000001</v>
      </c>
      <c r="M34" s="56">
        <v>16048.06</v>
      </c>
      <c r="N34" s="57">
        <f>930+1254.543</f>
        <v>2184.5429999999997</v>
      </c>
      <c r="O34" s="56">
        <v>15563.03</v>
      </c>
      <c r="P34" s="67">
        <f>900+1518.699</f>
        <v>2418.6990000000001</v>
      </c>
      <c r="Q34" s="70">
        <v>12176.88</v>
      </c>
      <c r="R34" s="64">
        <f>900+1518.699</f>
        <v>2418.6990000000001</v>
      </c>
      <c r="S34" s="71">
        <v>12176.88</v>
      </c>
      <c r="T34" s="64">
        <f>930+543.914</f>
        <v>1473.914</v>
      </c>
      <c r="U34" s="71">
        <v>10098.99</v>
      </c>
      <c r="V34" s="64">
        <f>900+1176.574</f>
        <v>2076.5740000000001</v>
      </c>
      <c r="W34" s="20">
        <v>15166.1</v>
      </c>
      <c r="X34" s="64">
        <f>930.001</f>
        <v>930.00099999999998</v>
      </c>
      <c r="Y34" s="20">
        <v>15237.91</v>
      </c>
      <c r="Z34" s="55">
        <f>900+2096.751</f>
        <v>2996.7510000000002</v>
      </c>
      <c r="AA34" s="70">
        <v>20169.990000000002</v>
      </c>
      <c r="AB34" s="55">
        <f>930+1214.764</f>
        <v>2144.7640000000001</v>
      </c>
      <c r="AC34" s="70">
        <v>18688.439999999999</v>
      </c>
      <c r="AD34" s="16">
        <f t="shared" si="0"/>
        <v>30686.620000000003</v>
      </c>
      <c r="AE34" s="16">
        <f t="shared" si="0"/>
        <v>189510.15000000002</v>
      </c>
    </row>
    <row r="35" spans="1:31" ht="15.75" x14ac:dyDescent="0.25">
      <c r="A35" s="19">
        <v>33</v>
      </c>
      <c r="B35" s="44"/>
      <c r="C35" s="44">
        <v>19467658</v>
      </c>
      <c r="D35" s="90" t="s">
        <v>218</v>
      </c>
      <c r="E35" s="45" t="s">
        <v>171</v>
      </c>
      <c r="F35" s="46">
        <v>26839.62</v>
      </c>
      <c r="G35" s="20">
        <v>117700</v>
      </c>
      <c r="H35" s="47">
        <v>25287.119999999999</v>
      </c>
      <c r="I35" s="66">
        <v>110892.29</v>
      </c>
      <c r="J35" s="46">
        <v>24746.85</v>
      </c>
      <c r="K35" s="56">
        <v>108481.1</v>
      </c>
      <c r="L35" s="46">
        <v>16520.669999999998</v>
      </c>
      <c r="M35" s="56">
        <v>70713.460000000006</v>
      </c>
      <c r="N35" s="52">
        <v>15678.18</v>
      </c>
      <c r="O35" s="56">
        <v>71155.820000000007</v>
      </c>
      <c r="P35" s="52">
        <v>10051.92</v>
      </c>
      <c r="Q35" s="66">
        <v>47150.23</v>
      </c>
      <c r="R35" s="54">
        <v>10051.92</v>
      </c>
      <c r="S35" s="71">
        <v>47150.23</v>
      </c>
      <c r="T35" s="54">
        <v>13165.2</v>
      </c>
      <c r="U35" s="71">
        <v>75035.86</v>
      </c>
      <c r="V35" s="54">
        <v>13175.55</v>
      </c>
      <c r="W35" s="20">
        <v>75007.27</v>
      </c>
      <c r="X35" s="54">
        <v>14581.08</v>
      </c>
      <c r="Y35" s="20">
        <v>83542.11</v>
      </c>
      <c r="Z35" s="55">
        <v>23034.959999999999</v>
      </c>
      <c r="AA35" s="70">
        <v>131361.84</v>
      </c>
      <c r="AB35" s="55">
        <v>25796.34</v>
      </c>
      <c r="AC35" s="70">
        <v>135750.44</v>
      </c>
      <c r="AD35" s="16">
        <f t="shared" si="0"/>
        <v>218929.40999999997</v>
      </c>
      <c r="AE35" s="16">
        <f t="shared" si="0"/>
        <v>1073940.6499999999</v>
      </c>
    </row>
    <row r="36" spans="1:31" ht="15.75" x14ac:dyDescent="0.25">
      <c r="A36" s="19"/>
      <c r="B36" s="44"/>
      <c r="C36" s="44"/>
      <c r="D36" s="90" t="s">
        <v>219</v>
      </c>
      <c r="E36" s="45" t="s">
        <v>0</v>
      </c>
      <c r="F36" s="78">
        <v>413109.9</v>
      </c>
      <c r="G36" s="79">
        <v>1554265.8</v>
      </c>
      <c r="H36" s="78">
        <v>365361.9</v>
      </c>
      <c r="I36" s="79">
        <v>1376956.86</v>
      </c>
      <c r="J36" s="78">
        <v>384261</v>
      </c>
      <c r="K36" s="79">
        <v>1309117.51</v>
      </c>
      <c r="L36" s="78">
        <v>415904.4</v>
      </c>
      <c r="M36" s="79">
        <v>1470882.55</v>
      </c>
      <c r="N36" s="78">
        <v>491004</v>
      </c>
      <c r="O36" s="79">
        <v>2131104</v>
      </c>
      <c r="P36" s="78">
        <v>712666.5</v>
      </c>
      <c r="Q36" s="79">
        <v>2939515.09</v>
      </c>
      <c r="R36" s="80">
        <v>946003.8</v>
      </c>
      <c r="S36" s="79">
        <v>4689584.08</v>
      </c>
      <c r="T36" s="78">
        <v>810087.6</v>
      </c>
      <c r="U36" s="79">
        <v>3821323.41</v>
      </c>
      <c r="V36" s="78">
        <v>671728.8</v>
      </c>
      <c r="W36" s="79">
        <v>3095786.99</v>
      </c>
      <c r="X36" s="78">
        <v>554808.30000000005</v>
      </c>
      <c r="Y36" s="79">
        <v>2570140.25</v>
      </c>
      <c r="Z36" s="78">
        <v>395949.6</v>
      </c>
      <c r="AA36" s="79">
        <v>1903775.34</v>
      </c>
      <c r="AB36" s="78">
        <v>409142.4</v>
      </c>
      <c r="AC36" s="79">
        <v>1940568.66</v>
      </c>
      <c r="AD36" s="16">
        <f t="shared" si="0"/>
        <v>6570028.1999999993</v>
      </c>
      <c r="AE36" s="16">
        <f t="shared" si="0"/>
        <v>28803020.539999999</v>
      </c>
    </row>
    <row r="37" spans="1:31" x14ac:dyDescent="0.25">
      <c r="A37" s="6"/>
      <c r="B37" s="6"/>
      <c r="C37" s="6"/>
      <c r="D37" s="6" t="s">
        <v>172</v>
      </c>
      <c r="E37" s="5" t="s">
        <v>172</v>
      </c>
      <c r="F37" s="1">
        <f>SUM(F3:F36)</f>
        <v>1179298.53</v>
      </c>
      <c r="G37" s="1">
        <f t="shared" ref="G37:AB37" si="1">SUM(G3:G36)</f>
        <v>4729205.7480000006</v>
      </c>
      <c r="H37" s="1">
        <f t="shared" si="1"/>
        <v>1045601.326</v>
      </c>
      <c r="I37" s="1">
        <f t="shared" si="1"/>
        <v>4420277.290000001</v>
      </c>
      <c r="J37" s="1">
        <f t="shared" si="1"/>
        <v>1074195.33</v>
      </c>
      <c r="K37" s="1">
        <f t="shared" si="1"/>
        <v>4355410.0000000009</v>
      </c>
      <c r="L37" s="1">
        <f t="shared" si="1"/>
        <v>879250.88199999998</v>
      </c>
      <c r="M37" s="1">
        <f t="shared" si="1"/>
        <v>3489796.0400000005</v>
      </c>
      <c r="N37" s="1">
        <f t="shared" si="1"/>
        <v>1050189.216</v>
      </c>
      <c r="O37" s="1">
        <f t="shared" si="1"/>
        <v>4663777.8900000006</v>
      </c>
      <c r="P37" s="1">
        <f t="shared" si="1"/>
        <v>1457975.6439999999</v>
      </c>
      <c r="Q37" s="1">
        <f t="shared" si="1"/>
        <v>6217358.4799999986</v>
      </c>
      <c r="R37" s="1">
        <f t="shared" si="1"/>
        <v>1692461.754</v>
      </c>
      <c r="S37" s="1">
        <f t="shared" si="1"/>
        <v>8020786.9299999988</v>
      </c>
      <c r="T37" s="1">
        <f t="shared" si="1"/>
        <v>1684993.6469999999</v>
      </c>
      <c r="U37" s="1">
        <f t="shared" si="1"/>
        <v>8453413.370000001</v>
      </c>
      <c r="V37" s="1">
        <f t="shared" si="1"/>
        <v>1446296.9160000002</v>
      </c>
      <c r="W37" s="1">
        <f t="shared" si="1"/>
        <v>7210902.9000000004</v>
      </c>
      <c r="X37" s="1">
        <f t="shared" si="1"/>
        <v>1186585.0460000001</v>
      </c>
      <c r="Y37" s="1">
        <f t="shared" si="1"/>
        <v>5985640.2400000002</v>
      </c>
      <c r="Z37" s="1">
        <f t="shared" si="1"/>
        <v>1067668.784</v>
      </c>
      <c r="AA37" s="1">
        <f t="shared" si="1"/>
        <v>5405341.4500000002</v>
      </c>
      <c r="AB37" s="1">
        <f t="shared" si="1"/>
        <v>1172366.0419999999</v>
      </c>
      <c r="AC37" s="1">
        <f>SUM(AC3:AC36)</f>
        <v>5888200.6699999999</v>
      </c>
      <c r="AD37" s="16">
        <f t="shared" si="0"/>
        <v>14936883.117000001</v>
      </c>
      <c r="AE37" s="16">
        <f t="shared" si="0"/>
        <v>68840111.008000001</v>
      </c>
    </row>
  </sheetData>
  <mergeCells count="1">
    <mergeCell ref="A1:E1"/>
  </mergeCells>
  <dataValidations count="1">
    <dataValidation type="decimal" allowBlank="1" showInputMessage="1" showErrorMessage="1" errorTitle="UYARI!" error="Lütfen sadece &quot;sayı değeri&quot; giriniz." sqref="F36:AC36" xr:uid="{00000000-0002-0000-0100-000000000000}">
      <formula1>0</formula1>
      <formula2>1E+24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2026</vt:lpstr>
      <vt:lpstr>2024-2025</vt:lpstr>
      <vt:lpstr>2025</vt:lpstr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Halil SİNOPLUGİL</dc:creator>
  <cp:lastModifiedBy>halil sinoplugil</cp:lastModifiedBy>
  <dcterms:created xsi:type="dcterms:W3CDTF">2025-07-24T13:04:48Z</dcterms:created>
  <dcterms:modified xsi:type="dcterms:W3CDTF">2026-08-04T12:20:28Z</dcterms:modified>
</cp:coreProperties>
</file>